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OneDrive\OneDrive - 釜屋電機株式会社\紛争鉱物_コバルト\"/>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5" l="1"/>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11" i="5"/>
  <c r="E11" i="5"/>
  <c r="X11" i="5" s="1"/>
  <c r="V12" i="5"/>
  <c r="E12" i="5"/>
  <c r="X12" i="5" s="1"/>
  <c r="V13" i="5"/>
  <c r="E13" i="5"/>
  <c r="X13" i="5" s="1"/>
  <c r="V14" i="5"/>
  <c r="E14" i="5"/>
  <c r="X14" i="5" s="1"/>
  <c r="V15" i="5"/>
  <c r="E15" i="5"/>
  <c r="V16" i="5"/>
  <c r="E16" i="5"/>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V53" i="5"/>
  <c r="E53" i="5"/>
  <c r="X53" i="5" s="1"/>
  <c r="V54" i="5"/>
  <c r="E54" i="5"/>
  <c r="X54" i="5" s="1"/>
  <c r="V55" i="5"/>
  <c r="E55" i="5"/>
  <c r="X55" i="5" s="1"/>
  <c r="V56" i="5"/>
  <c r="E56" i="5"/>
  <c r="X56" i="5" s="1"/>
  <c r="V57" i="5"/>
  <c r="E57" i="5"/>
  <c r="V58" i="5"/>
  <c r="E58" i="5"/>
  <c r="X58" i="5" s="1"/>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V86" i="5"/>
  <c r="E86" i="5"/>
  <c r="X86" i="5" s="1"/>
  <c r="V87" i="5"/>
  <c r="E87" i="5"/>
  <c r="X87" i="5" s="1"/>
  <c r="V88" i="5"/>
  <c r="E88" i="5"/>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V170" i="5"/>
  <c r="E170" i="5"/>
  <c r="X170" i="5" s="1"/>
  <c r="V171" i="5"/>
  <c r="E171" i="5"/>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V400" i="5"/>
  <c r="E400" i="5"/>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V608" i="5"/>
  <c r="E608" i="5"/>
  <c r="X608" i="5" s="1"/>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G15" i="6" s="1"/>
  <c r="H15" i="6" s="1"/>
  <c r="B20" i="6"/>
  <c r="G20" i="6"/>
  <c r="B23" i="6"/>
  <c r="G23" i="6" s="1"/>
  <c r="G16" i="6"/>
  <c r="H16" i="6"/>
  <c r="F21" i="6"/>
  <c r="H21" i="6" s="1"/>
  <c r="G21" i="6"/>
  <c r="B8" i="6"/>
  <c r="G8" i="6"/>
  <c r="H8" i="6" s="1"/>
  <c r="B11" i="6"/>
  <c r="G11" i="6" s="1"/>
  <c r="H11" i="6" s="1"/>
  <c r="G26" i="6"/>
  <c r="H26" i="6"/>
  <c r="F31" i="6"/>
  <c r="H31" i="6"/>
  <c r="F36" i="6"/>
  <c r="H36" i="6"/>
  <c r="F41" i="6"/>
  <c r="H41" i="6"/>
  <c r="F46" i="6"/>
  <c r="H46" i="6"/>
  <c r="I4" i="6"/>
  <c r="J4" i="6"/>
  <c r="I5" i="6"/>
  <c r="J5" i="6"/>
  <c r="I6" i="6"/>
  <c r="C6" i="6" s="1"/>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J25" i="6"/>
  <c r="I26" i="6"/>
  <c r="C26" i="6" s="1"/>
  <c r="J26" i="6"/>
  <c r="I28" i="6"/>
  <c r="J28" i="6"/>
  <c r="I29" i="6"/>
  <c r="J29" i="6"/>
  <c r="I30" i="6"/>
  <c r="C30" i="6" s="1"/>
  <c r="J30" i="6"/>
  <c r="I31" i="6"/>
  <c r="J31" i="6"/>
  <c r="I33" i="6"/>
  <c r="J33" i="6"/>
  <c r="I34" i="6"/>
  <c r="J34" i="6"/>
  <c r="I35" i="6"/>
  <c r="J35" i="6"/>
  <c r="I36" i="6"/>
  <c r="J36" i="6"/>
  <c r="I38" i="6"/>
  <c r="J38" i="6"/>
  <c r="I39" i="6"/>
  <c r="J39" i="6"/>
  <c r="I40" i="6"/>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5" i="5"/>
  <c r="X16" i="5"/>
  <c r="X37" i="5"/>
  <c r="X52" i="5"/>
  <c r="X57" i="5"/>
  <c r="X64" i="5"/>
  <c r="X85" i="5"/>
  <c r="X88" i="5"/>
  <c r="X100" i="5"/>
  <c r="X123" i="5"/>
  <c r="X130" i="5"/>
  <c r="X169" i="5"/>
  <c r="X171" i="5"/>
  <c r="X196" i="5"/>
  <c r="X229" i="5"/>
  <c r="X261" i="5"/>
  <c r="X265" i="5"/>
  <c r="X285" i="5"/>
  <c r="X298" i="5"/>
  <c r="X309" i="5"/>
  <c r="X337" i="5"/>
  <c r="X351" i="5"/>
  <c r="X370" i="5"/>
  <c r="X375" i="5"/>
  <c r="X399" i="5"/>
  <c r="X400" i="5"/>
  <c r="X442" i="5"/>
  <c r="X453" i="5"/>
  <c r="X481" i="5"/>
  <c r="X501" i="5"/>
  <c r="X514" i="5"/>
  <c r="X522" i="5"/>
  <c r="X543" i="5"/>
  <c r="X559" i="5"/>
  <c r="X570" i="5"/>
  <c r="X585" i="5"/>
  <c r="X607" i="5"/>
  <c r="X609" i="5"/>
  <c r="X627" i="5"/>
  <c r="X643" i="5"/>
  <c r="X651" i="5"/>
  <c r="X693" i="5"/>
  <c r="X732" i="5"/>
  <c r="X775" i="5"/>
  <c r="X792" i="5"/>
  <c r="X819" i="5"/>
  <c r="X829" i="5"/>
  <c r="X840" i="5"/>
  <c r="X859" i="5"/>
  <c r="X882" i="5"/>
  <c r="X903" i="5"/>
  <c r="X904" i="5"/>
  <c r="X924" i="5"/>
  <c r="X942" i="5"/>
  <c r="X976" i="5"/>
  <c r="X1048" i="5"/>
  <c r="X1077" i="5"/>
  <c r="X1116" i="5"/>
  <c r="X1120" i="5"/>
  <c r="X1152" i="5"/>
  <c r="X1191" i="5"/>
  <c r="X1207" i="5"/>
  <c r="X1212" i="5"/>
  <c r="X1263" i="5"/>
  <c r="X1279" i="5"/>
  <c r="X1329" i="5"/>
  <c r="X1372" i="5"/>
  <c r="X1416" i="5"/>
  <c r="X1467" i="5"/>
  <c r="X1480" i="5"/>
  <c r="X1557" i="5"/>
  <c r="X1584" i="5"/>
  <c r="X1696" i="5"/>
  <c r="X1725" i="5"/>
  <c r="X1752" i="5"/>
  <c r="X1776" i="5"/>
  <c r="X1797" i="5"/>
  <c r="X1833" i="5"/>
  <c r="X1968" i="5"/>
  <c r="X2001" i="5"/>
  <c r="X2092" i="5"/>
  <c r="X2103" i="5"/>
  <c r="X2182" i="5"/>
  <c r="X2217" i="5"/>
  <c r="X2229" i="5"/>
  <c r="X2262" i="5"/>
  <c r="X2277" i="5"/>
  <c r="X2301" i="5"/>
  <c r="X2346" i="5"/>
  <c r="X2404" i="5"/>
  <c r="X2469" i="5"/>
  <c r="X2485" i="5"/>
  <c r="I64" i="6"/>
  <c r="E4" i="8"/>
  <c r="B6"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B52" i="6"/>
  <c r="G52" i="6" s="1"/>
  <c r="P27" i="4"/>
  <c r="G53" i="6"/>
  <c r="B57" i="6"/>
  <c r="G57" i="6" s="1"/>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B12" i="6"/>
  <c r="G12" i="6" s="1"/>
  <c r="H12" i="6" s="1"/>
  <c r="B10" i="6"/>
  <c r="G10" i="6"/>
  <c r="H10" i="6" s="1"/>
  <c r="B9" i="6"/>
  <c r="G9" i="6"/>
  <c r="H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F11" i="5"/>
  <c r="H14" i="5"/>
  <c r="A5" i="2"/>
  <c r="C2" i="6"/>
  <c r="H59" i="6"/>
  <c r="D59" i="6" s="1"/>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G1420" i="5"/>
  <c r="J2100" i="5"/>
  <c r="J2492" i="5"/>
  <c r="I1420" i="5"/>
  <c r="H1788" i="5"/>
  <c r="F1420"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14" i="5"/>
  <c r="S93" i="5"/>
  <c r="J12" i="5"/>
  <c r="J15" i="5"/>
  <c r="J16" i="5"/>
  <c r="S69" i="5"/>
  <c r="S61" i="5"/>
  <c r="S45" i="5"/>
  <c r="S17" i="5"/>
  <c r="S37" i="5"/>
  <c r="S21" i="5"/>
  <c r="S13" i="5"/>
  <c r="S15"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63" i="4" s="1"/>
  <c r="A4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C16" i="6"/>
  <c r="P4" i="5"/>
  <c r="D4" i="8"/>
  <c r="B1001" i="7"/>
  <c r="B35" i="4"/>
  <c r="B38" i="4"/>
  <c r="B62" i="4" s="1"/>
  <c r="A43" i="6" s="1"/>
  <c r="B3" i="6"/>
  <c r="A4" i="8"/>
  <c r="B22" i="3"/>
  <c r="B4" i="8"/>
  <c r="B34" i="4"/>
  <c r="B40" i="4"/>
  <c r="B58" i="4" s="1"/>
  <c r="A40" i="6" s="1"/>
  <c r="C3" i="6"/>
  <c r="I4" i="8"/>
  <c r="C29" i="6"/>
  <c r="C5" i="7"/>
  <c r="A1" i="6"/>
  <c r="A85" i="4"/>
  <c r="B33" i="4"/>
  <c r="A21" i="6" s="1"/>
  <c r="B81" i="4"/>
  <c r="A57" i="6" s="1"/>
  <c r="H4" i="5"/>
  <c r="O4" i="5"/>
  <c r="B2" i="5"/>
  <c r="B41" i="4"/>
  <c r="B65" i="4" s="1"/>
  <c r="A46" i="6" s="1"/>
  <c r="D3" i="6"/>
  <c r="B20" i="1"/>
  <c r="B29" i="4"/>
  <c r="A18" i="6" s="1"/>
  <c r="A3" i="6"/>
  <c r="D5" i="7"/>
  <c r="B32" i="4"/>
  <c r="A20" i="6" s="1"/>
  <c r="N4" i="5"/>
  <c r="B28" i="4"/>
  <c r="A17" i="6" s="1"/>
  <c r="G4" i="5"/>
  <c r="A1" i="7"/>
  <c r="C40" i="6"/>
  <c r="F4" i="5"/>
  <c r="C4" i="8"/>
  <c r="A1" i="8"/>
  <c r="C17" i="6"/>
  <c r="B27" i="4"/>
  <c r="A16" i="6" s="1"/>
  <c r="B79" i="4"/>
  <c r="A55" i="6" s="1"/>
  <c r="D1" i="6"/>
  <c r="C35" i="6"/>
  <c r="B5" i="7"/>
  <c r="A64" i="2"/>
  <c r="A47" i="2"/>
  <c r="C36" i="6"/>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s="1"/>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59" i="6" l="1"/>
  <c r="C9" i="5"/>
  <c r="C6" i="5"/>
  <c r="B5" i="5"/>
  <c r="B8" i="5"/>
  <c r="C8" i="5"/>
  <c r="B10" i="5"/>
  <c r="B7" i="5"/>
  <c r="C10" i="5"/>
  <c r="C7" i="5"/>
  <c r="C5" i="5"/>
  <c r="B9" i="5"/>
  <c r="A23" i="6"/>
  <c r="B50" i="4"/>
  <c r="A33" i="6" s="1"/>
  <c r="B56" i="4"/>
  <c r="A38" i="6" s="1"/>
  <c r="B44" i="4"/>
  <c r="A28" i="6" s="1"/>
  <c r="B74" i="4"/>
  <c r="A52" i="6" s="1"/>
  <c r="B59" i="4"/>
  <c r="A41" i="6" s="1"/>
  <c r="K60" i="6"/>
  <c r="C15" i="6"/>
  <c r="D15" i="6"/>
  <c r="F61" i="6"/>
  <c r="F39" i="6"/>
  <c r="H39" i="6" s="1"/>
  <c r="F44" i="6"/>
  <c r="H44" i="6" s="1"/>
  <c r="H24" i="6"/>
  <c r="F34" i="6"/>
  <c r="H34" i="6" s="1"/>
  <c r="B43" i="4"/>
  <c r="A27" i="6" s="1"/>
  <c r="B37" i="4"/>
  <c r="A22" i="6" s="1"/>
  <c r="B61" i="4"/>
  <c r="A42" i="6" s="1"/>
  <c r="B55" i="4"/>
  <c r="A37" i="6" s="1"/>
  <c r="B49" i="4"/>
  <c r="A32" i="6" s="1"/>
  <c r="D21" i="6"/>
  <c r="C21" i="6"/>
  <c r="F23" i="6"/>
  <c r="F20" i="6"/>
  <c r="H20" i="6" s="1"/>
  <c r="C10" i="6"/>
  <c r="D10" i="6"/>
  <c r="C12" i="6"/>
  <c r="D12" i="6"/>
  <c r="D7" i="6"/>
  <c r="C7" i="6"/>
  <c r="D13" i="6"/>
  <c r="C13" i="6"/>
  <c r="D11" i="6"/>
  <c r="C11" i="6"/>
  <c r="D9" i="6"/>
  <c r="C9" i="6"/>
  <c r="C8" i="6"/>
  <c r="D8" i="6"/>
  <c r="D61" i="4"/>
  <c r="C5" i="6"/>
  <c r="D5" i="6"/>
  <c r="G49" i="4"/>
  <c r="C4" i="6"/>
  <c r="D4" i="6"/>
  <c r="B47" i="4"/>
  <c r="A31" i="6" s="1"/>
  <c r="A26" i="6"/>
  <c r="B53" i="4"/>
  <c r="A36" i="6" s="1"/>
  <c r="G31" i="4"/>
  <c r="D68" i="4"/>
  <c r="G61" i="4"/>
  <c r="D37" i="4"/>
  <c r="B64" i="4"/>
  <c r="A45" i="6" s="1"/>
  <c r="B57" i="4"/>
  <c r="A39" i="6" s="1"/>
  <c r="A24" i="6"/>
  <c r="A25" i="6"/>
  <c r="B52" i="4"/>
  <c r="A35" i="6" s="1"/>
  <c r="D31" i="4"/>
  <c r="D55" i="4"/>
  <c r="B46" i="4"/>
  <c r="A30" i="6" s="1"/>
  <c r="B75" i="4"/>
  <c r="A53" i="6" s="1"/>
  <c r="B51" i="4"/>
  <c r="A34" i="6" s="1"/>
  <c r="G37" i="4"/>
  <c r="G55" i="4"/>
  <c r="D49" i="4"/>
  <c r="G68" i="4"/>
  <c r="V5" i="5" l="1"/>
  <c r="V10" i="5"/>
  <c r="G61" i="6"/>
  <c r="H61" i="6" s="1"/>
  <c r="AB5" i="5"/>
  <c r="G60" i="6"/>
  <c r="V6" i="5"/>
  <c r="G6" i="5" s="1"/>
  <c r="AB7" i="5"/>
  <c r="AB10" i="5"/>
  <c r="V9" i="5"/>
  <c r="G9" i="5" s="1"/>
  <c r="AB9" i="5"/>
  <c r="V8" i="5"/>
  <c r="F64" i="6"/>
  <c r="C64" i="6" s="1"/>
  <c r="V7" i="5"/>
  <c r="G7" i="5" s="1"/>
  <c r="AB8" i="5"/>
  <c r="AB6" i="5"/>
  <c r="D20" i="6"/>
  <c r="C20" i="6"/>
  <c r="F38" i="6"/>
  <c r="H38" i="6" s="1"/>
  <c r="H23" i="6"/>
  <c r="F28" i="6"/>
  <c r="H28" i="6" s="1"/>
  <c r="F43" i="6"/>
  <c r="H43" i="6" s="1"/>
  <c r="F60" i="6"/>
  <c r="F33" i="6"/>
  <c r="H33" i="6" s="1"/>
  <c r="F48" i="6"/>
  <c r="F53" i="6" s="1"/>
  <c r="H53" i="6" s="1"/>
  <c r="C34" i="6"/>
  <c r="D34" i="6"/>
  <c r="C24" i="6"/>
  <c r="D24" i="6"/>
  <c r="D44" i="6"/>
  <c r="C44" i="6"/>
  <c r="C39" i="6"/>
  <c r="D39" i="6"/>
  <c r="D61" i="6" l="1"/>
  <c r="C61" i="6"/>
  <c r="J6" i="5"/>
  <c r="H6" i="5"/>
  <c r="E6" i="5"/>
  <c r="R6" i="5"/>
  <c r="F6" i="5"/>
  <c r="I6" i="5"/>
  <c r="F10" i="5"/>
  <c r="R10" i="5"/>
  <c r="J10" i="5"/>
  <c r="E10" i="5"/>
  <c r="I10" i="5"/>
  <c r="H10" i="5"/>
  <c r="G10" i="5"/>
  <c r="R5" i="5"/>
  <c r="J5" i="5"/>
  <c r="H5" i="5"/>
  <c r="F5" i="5"/>
  <c r="I5" i="5"/>
  <c r="E5" i="5"/>
  <c r="J7" i="5"/>
  <c r="H7" i="5"/>
  <c r="R7" i="5"/>
  <c r="F7" i="5"/>
  <c r="E7" i="5"/>
  <c r="I7" i="5"/>
  <c r="E8" i="5"/>
  <c r="R8" i="5"/>
  <c r="J8" i="5"/>
  <c r="F8" i="5"/>
  <c r="I8" i="5"/>
  <c r="H8" i="5"/>
  <c r="R9" i="5"/>
  <c r="E9" i="5"/>
  <c r="I9" i="5"/>
  <c r="F9" i="5"/>
  <c r="J9" i="5"/>
  <c r="H9" i="5"/>
  <c r="G5" i="5"/>
  <c r="G8" i="5"/>
  <c r="F52" i="6"/>
  <c r="H52" i="6" s="1"/>
  <c r="D52" i="6" s="1"/>
  <c r="D53" i="6"/>
  <c r="C53" i="6"/>
  <c r="C52" i="6"/>
  <c r="H48" i="6"/>
  <c r="F49" i="6"/>
  <c r="F57" i="6"/>
  <c r="H57" i="6" s="1"/>
  <c r="F54" i="6"/>
  <c r="H54" i="6" s="1"/>
  <c r="F58" i="6"/>
  <c r="H58" i="6" s="1"/>
  <c r="F55" i="6"/>
  <c r="H55" i="6" s="1"/>
  <c r="D33" i="6"/>
  <c r="C33" i="6"/>
  <c r="H60" i="6"/>
  <c r="B2" i="6"/>
  <c r="C43" i="6"/>
  <c r="D43" i="6"/>
  <c r="D28" i="6"/>
  <c r="C28" i="6"/>
  <c r="C23" i="6"/>
  <c r="D23" i="6"/>
  <c r="C38" i="6"/>
  <c r="D38" i="6"/>
  <c r="X10" i="5" l="1"/>
  <c r="X9" i="5"/>
  <c r="X6" i="5"/>
  <c r="X8" i="5"/>
  <c r="G64" i="6" a="1"/>
  <c r="G64" i="6" s="1"/>
  <c r="H64" i="6" s="1"/>
  <c r="X5" i="5"/>
  <c r="X7" i="5"/>
  <c r="D60" i="6"/>
  <c r="C60" i="6"/>
  <c r="D57" i="6"/>
  <c r="C57" i="6"/>
  <c r="D55" i="6"/>
  <c r="C55" i="6"/>
  <c r="D58" i="6"/>
  <c r="C58" i="6"/>
  <c r="D54" i="6"/>
  <c r="C54" i="6"/>
  <c r="H49" i="6"/>
  <c r="F50" i="6"/>
  <c r="H50" i="6" s="1"/>
  <c r="C48" i="6"/>
  <c r="D48" i="6"/>
  <c r="S8" i="5"/>
  <c r="S10" i="5"/>
  <c r="S7" i="5"/>
  <c r="S9" i="5"/>
  <c r="S5" i="5"/>
  <c r="S6" i="5"/>
  <c r="D49" i="6" l="1"/>
  <c r="C49" i="6"/>
  <c r="D50" i="6"/>
  <c r="C50" i="6"/>
  <c r="H65" i="6"/>
  <c r="D2" i="6" s="1"/>
  <c r="T7" i="5"/>
  <c r="T8" i="5"/>
  <c r="T9" i="5"/>
  <c r="T10" i="5"/>
  <c r="T6" i="5"/>
  <c r="T5" i="5"/>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<sst xmlns="http://schemas.openxmlformats.org/spreadsheetml/2006/main" count="23114" uniqueCount="19256">
  <si>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</si>
  <si>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</si>
  <si>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</si>
  <si>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</si>
  <si>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</si>
  <si>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</si>
  <si>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</si>
  <si>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</si>
  <si>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</si>
  <si>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</si>
  <si>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</si>
  <si>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</si>
  <si>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</si>
  <si>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</si>
  <si>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</si>
  <si>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</si>
  <si>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</si>
  <si>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</si>
  <si>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</si>
  <si>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</si>
  <si>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</si>
  <si>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</si>
  <si>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</si>
  <si>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</si>
  <si>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</si>
  <si>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</si>
  <si>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</si>
  <si>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</si>
  <si>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</si>
  <si>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</si>
  <si>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</si>
  <si>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</si>
  <si>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</si>
  <si>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</si>
  <si>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</si>
  <si>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</si>
  <si>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</si>
  <si>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</si>
  <si>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</si>
  <si>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</si>
  <si>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</si>
  <si>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</si>
  <si>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</si>
  <si>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</si>
  <si>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</si>
  <si>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</si>
  <si>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</si>
  <si>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</si>
  <si>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</si>
  <si>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</si>
  <si>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</si>
  <si>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</si>
  <si>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</si>
  <si>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</si>
  <si>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</si>
  <si>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</si>
  <si>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</si>
  <si>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</si>
  <si>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</si>
  <si>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</si>
  <si>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</si>
  <si>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</si>
  <si>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</si>
  <si>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</si>
  <si>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</si>
  <si>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</si>
  <si>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</si>
  <si>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</si>
  <si>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</si>
  <si>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</si>
  <si>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</si>
  <si>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</si>
  <si>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</si>
  <si>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</si>
  <si>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</si>
  <si>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</si>
  <si>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</si>
  <si>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</si>
  <si>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</si>
  <si>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</si>
  <si>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</si>
  <si>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</si>
  <si>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</si>
  <si>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</si>
  <si>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</si>
  <si>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</si>
  <si>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</si>
  <si>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</si>
  <si>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</si>
  <si>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</si>
  <si>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</si>
  <si>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</si>
  <si>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</si>
  <si>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</si>
  <si>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</si>
  <si>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</si>
  <si>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</si>
  <si>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</si>
  <si>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</si>
  <si>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</si>
  <si>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</si>
  <si>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</si>
  <si>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</si>
  <si>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</si>
  <si>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</si>
  <si>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</si>
  <si>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</si>
  <si>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</si>
  <si>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</si>
  <si>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</si>
  <si>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</si>
  <si>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</si>
  <si>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</si>
  <si>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</si>
  <si>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</si>
  <si>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</si>
  <si>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</si>
  <si>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</si>
  <si>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</si>
  <si>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</si>
  <si>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</si>
  <si>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</si>
  <si>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</si>
  <si>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</si>
  <si>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</si>
  <si>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</si>
  <si>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</si>
  <si>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</si>
  <si>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</si>
  <si>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</si>
  <si>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</si>
  <si>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</si>
  <si>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</si>
  <si>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</si>
  <si>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</si>
  <si>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</si>
  <si>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</si>
  <si>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</si>
  <si>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</si>
  <si>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</si>
  <si>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</si>
  <si>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</si>
  <si>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</si>
  <si>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</si>
  <si>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</si>
  <si>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</si>
  <si>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</si>
  <si>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</si>
  <si>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</si>
  <si>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</si>
  <si>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</si>
  <si>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</si>
  <si>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</si>
  <si>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</si>
  <si>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</si>
  <si>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</si>
  <si>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</si>
  <si>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</si>
  <si>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</si>
  <si>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</si>
  <si>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</si>
  <si>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</si>
  <si>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</si>
  <si>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</si>
  <si>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</si>
  <si>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</si>
  <si>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</si>
  <si>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</si>
  <si>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</si>
  <si>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</si>
  <si>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</si>
  <si>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</si>
  <si>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</si>
  <si>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</si>
  <si>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</si>
  <si>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</si>
  <si>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</si>
  <si>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</si>
  <si>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</si>
  <si>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</si>
  <si>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</si>
  <si>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</si>
  <si>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</si>
  <si>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</si>
  <si>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</si>
  <si>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</si>
  <si>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</si>
  <si>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</si>
  <si>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</si>
  <si>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</si>
  <si>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</si>
  <si>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</si>
  <si>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</si>
  <si>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</si>
  <si>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</si>
  <si>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</si>
  <si>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</si>
  <si>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</si>
  <si>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</si>
  <si>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</si>
  <si>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</si>
  <si>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</si>
  <si>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</si>
  <si>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</si>
  <si>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</si>
  <si>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</si>
  <si>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</si>
  <si>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</si>
  <si>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</si>
  <si>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</si>
  <si>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</si>
  <si>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</si>
  <si>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</si>
  <si>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</si>
  <si>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</si>
  <si>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</si>
  <si>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</si>
  <si>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</si>
  <si>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</si>
  <si>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</si>
  <si>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</si>
  <si>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</si>
  <si>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</si>
  <si>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</si>
  <si>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</si>
  <si>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</si>
  <si>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</si>
  <si>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</si>
  <si>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</si>
  <si>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</si>
  <si>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</si>
  <si>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</si>
  <si>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</si>
  <si>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</si>
  <si>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</si>
  <si>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</si>
  <si>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</si>
  <si>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</si>
  <si>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</si>
  <si>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</si>
  <si>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</si>
  <si>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</si>
  <si>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</si>
  <si>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</si>
  <si>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</si>
  <si>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</si>
  <si>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</si>
  <si>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</si>
  <si>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</si>
  <si>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</si>
  <si>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</si>
  <si>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</si>
  <si>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</si>
  <si>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</si>
  <si>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</si>
  <si>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</si>
  <si>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</si>
  <si>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</si>
  <si>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</si>
  <si>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</si>
  <si>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</si>
  <si>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</si>
  <si>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</si>
  <si>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</si>
  <si>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</si>
  <si>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</si>
  <si>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</si>
  <si>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</si>
  <si>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</si>
  <si>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</si>
  <si>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</si>
  <si>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</si>
  <si>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</si>
  <si>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</si>
  <si>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</si>
  <si>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</si>
  <si>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</si>
  <si>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</si>
  <si>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</si>
  <si>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</si>
  <si>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</si>
  <si>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</si>
  <si>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</si>
  <si>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</si>
  <si>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</si>
  <si>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</si>
  <si>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</si>
  <si>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</si>
  <si>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</si>
  <si>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</si>
  <si>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</si>
  <si>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</si>
  <si>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</si>
  <si>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</si>
  <si>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</si>
  <si>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</si>
  <si>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</si>
  <si>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</si>
  <si>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</si>
  <si>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</si>
  <si>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</si>
  <si>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</si>
  <si>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</si>
  <si>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</si>
  <si>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</si>
  <si>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</si>
  <si>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</si>
  <si>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</si>
  <si>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</si>
  <si>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</si>
  <si>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</si>
  <si>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</si>
  <si>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</si>
  <si>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</si>
  <si>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</si>
  <si>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</si>
  <si>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</si>
  <si>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</si>
  <si>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</si>
  <si>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</si>
  <si>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</si>
  <si>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</si>
  <si>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</si>
  <si>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</si>
  <si>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</si>
  <si>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</si>
  <si>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</si>
  <si>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</si>
  <si>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</si>
  <si>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</si>
  <si>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</si>
  <si>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</si>
  <si>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</si>
  <si>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</si>
  <si>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</si>
  <si>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</si>
  <si>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</si>
  <si>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</si>
  <si>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</si>
  <si>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</si>
  <si>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</si>
  <si>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</si>
  <si>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</si>
  <si>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</si>
  <si>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</si>
  <si>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</si>
  <si>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</si>
  <si>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</si>
  <si>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</si>
  <si>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</si>
  <si>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</si>
  <si>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</si>
  <si>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</si>
  <si>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</si>
  <si>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</si>
  <si>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</si>
  <si>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</si>
  <si>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</si>
  <si>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</si>
  <si>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</si>
  <si>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</si>
  <si>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</si>
  <si>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</si>
  <si>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</si>
  <si>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</si>
  <si>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</si>
  <si>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</si>
  <si>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</si>
  <si>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</si>
  <si>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</si>
  <si>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</si>
  <si>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</si>
  <si>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</si>
  <si>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</si>
  <si>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</si>
  <si>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</si>
  <si>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</si>
  <si>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</si>
  <si>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</si>
  <si>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</si>
  <si>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</si>
  <si>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</si>
  <si>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</si>
  <si>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</si>
  <si>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</si>
  <si>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</si>
  <si>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</si>
  <si>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</si>
  <si>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</si>
  <si>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</si>
  <si>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</si>
  <si>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</si>
  <si>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</si>
  <si>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</si>
  <si>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</si>
  <si>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</si>
  <si>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</si>
  <si>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</si>
  <si>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</si>
  <si>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</si>
  <si>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</si>
  <si>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</si>
  <si>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</si>
  <si>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</si>
  <si>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</si>
  <si>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</si>
  <si>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</si>
  <si>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</si>
  <si>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</si>
  <si>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</si>
  <si>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</si>
  <si>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</si>
  <si>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</si>
  <si>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</si>
  <si>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</si>
  <si>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</si>
  <si>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</si>
  <si>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</si>
  <si>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</si>
  <si>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</si>
  <si>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</si>
  <si>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</si>
  <si>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</si>
  <si>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</si>
  <si>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</si>
  <si>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</si>
  <si>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</si>
  <si>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</si>
  <si>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</si>
  <si>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</si>
  <si>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</si>
  <si>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</si>
  <si>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</si>
  <si>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</si>
  <si>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</si>
  <si>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</si>
  <si>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</si>
  <si>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</si>
  <si>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</si>
  <si>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</si>
  <si>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</si>
  <si>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</si>
  <si>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</si>
  <si>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</si>
  <si>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</si>
  <si>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</si>
  <si>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</si>
  <si>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</si>
  <si>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</si>
  <si>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</si>
  <si>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</si>
  <si>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</si>
  <si>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</si>
  <si>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</si>
  <si>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</si>
  <si>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</si>
  <si>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</si>
  <si>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</si>
  <si>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</si>
  <si>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</si>
  <si>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</si>
  <si>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</si>
  <si>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</si>
  <si>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</si>
  <si>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</si>
  <si>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</si>
  <si>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</si>
  <si>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</si>
  <si>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</si>
  <si>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</si>
  <si>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</si>
  <si>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</si>
  <si>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</si>
  <si>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</si>
  <si>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</si>
  <si>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</si>
  <si>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</si>
  <si>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</si>
  <si>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</si>
  <si>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</si>
  <si>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</si>
  <si>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</si>
  <si>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</si>
  <si>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</si>
  <si>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</si>
  <si>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</si>
  <si>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</si>
  <si>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</si>
  <si>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</si>
  <si>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</si>
  <si>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</si>
  <si>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</si>
  <si>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</si>
  <si>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</si>
  <si>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</si>
  <si>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</si>
  <si>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</si>
  <si>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</si>
  <si>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</si>
  <si>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</si>
  <si>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</si>
  <si>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</si>
  <si>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</si>
  <si>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</si>
  <si>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</si>
  <si>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</si>
  <si>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</si>
  <si>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</si>
  <si>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</si>
  <si>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</si>
  <si>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</si>
  <si>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</si>
  <si>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</si>
  <si>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</si>
  <si>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</si>
  <si>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</si>
  <si>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</si>
  <si>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</si>
  <si>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</si>
  <si>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</si>
  <si>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</si>
  <si>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</si>
  <si>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</si>
  <si>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</si>
  <si>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</si>
  <si>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</si>
  <si>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</si>
  <si>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</si>
  <si>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</si>
  <si>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</si>
  <si>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</si>
  <si>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</si>
  <si>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</si>
  <si>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</si>
  <si>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</si>
  <si>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</si>
  <si>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</si>
  <si>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</si>
  <si>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</si>
  <si>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</si>
  <si>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</si>
  <si>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</si>
  <si>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</si>
  <si>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</si>
  <si>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</si>
  <si>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</si>
  <si>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</si>
  <si>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</si>
  <si>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</si>
  <si>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</si>
  <si>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</si>
  <si>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</si>
  <si>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</si>
  <si>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</si>
  <si>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</si>
  <si>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</si>
  <si>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</si>
  <si>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</si>
  <si>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</si>
  <si>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</si>
  <si>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</si>
  <si>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</si>
  <si>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</si>
  <si>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</si>
  <si>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</si>
  <si>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</si>
  <si>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</si>
  <si>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</si>
  <si>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</si>
  <si>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</si>
  <si>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</si>
  <si>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</si>
  <si>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</si>
  <si>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</si>
  <si>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</si>
  <si>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</si>
  <si>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</si>
  <si>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</si>
  <si>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</si>
  <si>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</si>
  <si>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</si>
  <si>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</si>
  <si>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</si>
  <si>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</si>
  <si>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</si>
  <si>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</si>
  <si>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</si>
  <si>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</si>
  <si>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</si>
  <si>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</si>
  <si>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</si>
  <si>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</si>
  <si>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</si>
  <si>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</si>
  <si>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</si>
  <si>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</si>
  <si>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</si>
  <si>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</si>
  <si>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</si>
  <si>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</si>
  <si>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</si>
  <si>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</si>
  <si>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</si>
  <si>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</si>
  <si>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</si>
  <si>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</si>
  <si>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</si>
  <si>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</si>
  <si>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</si>
  <si>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</si>
  <si>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</si>
  <si>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</si>
  <si>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</si>
  <si>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</si>
  <si>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</si>
  <si>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</si>
  <si>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</si>
  <si>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</si>
  <si>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</si>
  <si>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</si>
  <si>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</si>
  <si>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</si>
  <si>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</si>
  <si>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</si>
  <si>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</si>
  <si>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</si>
  <si>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</si>
  <si>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</si>
  <si>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</si>
  <si>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</si>
  <si>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</si>
  <si>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</si>
  <si>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</si>
  <si>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</si>
  <si>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</si>
  <si>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</si>
  <si>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</si>
  <si>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</si>
  <si>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</si>
  <si>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</si>
  <si>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</si>
  <si>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</si>
  <si>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</si>
  <si>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</si>
  <si>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</si>
  <si>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</si>
  <si>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</si>
  <si>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</si>
  <si>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</si>
  <si>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</si>
  <si>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</si>
  <si>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</si>
  <si>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</si>
  <si>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</si>
  <si>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</si>
  <si>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</si>
  <si>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</si>
  <si>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</si>
  <si>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</si>
  <si>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</si>
  <si>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</si>
  <si>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</si>
  <si>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</si>
  <si>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</si>
  <si>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</si>
  <si>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</si>
  <si>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</si>
  <si>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</si>
  <si>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</si>
  <si>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</si>
  <si>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</si>
  <si>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</si>
  <si>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</si>
  <si>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</si>
  <si>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</si>
  <si>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</si>
  <si>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</si>
  <si>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</si>
  <si>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</si>
  <si>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</si>
  <si>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</si>
  <si>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</si>
  <si>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</si>
  <si>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</si>
  <si>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</si>
  <si>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</si>
  <si>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</si>
  <si>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</si>
  <si>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</si>
  <si>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</si>
  <si>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</si>
  <si>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</si>
  <si>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</si>
  <si>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</si>
  <si>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</si>
  <si>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</si>
  <si>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</si>
  <si>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</si>
  <si>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</si>
  <si>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</si>
  <si>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</si>
  <si>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</si>
  <si>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</si>
  <si>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</si>
  <si>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</si>
  <si>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</si>
  <si>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</si>
  <si>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</si>
  <si>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</si>
  <si>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</si>
  <si>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</si>
  <si>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</si>
  <si>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</si>
  <si>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</si>
  <si>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</si>
  <si>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</si>
  <si>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</si>
  <si>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</si>
  <si>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</si>
  <si>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</si>
  <si>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</si>
  <si>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</si>
  <si>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</si>
  <si>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</si>
  <si>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</si>
  <si>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</si>
  <si>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</si>
  <si>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</si>
  <si>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</si>
  <si>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</si>
  <si>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</si>
  <si>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</si>
  <si>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</si>
  <si>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</si>
  <si>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</si>
  <si>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</si>
  <si>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</si>
  <si>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</si>
  <si>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</si>
  <si>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</si>
  <si>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</si>
  <si>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</si>
  <si>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</si>
  <si>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</si>
  <si>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</si>
  <si>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</si>
  <si>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</si>
  <si>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</si>
  <si>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</si>
  <si>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</si>
  <si>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</si>
  <si>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</si>
  <si>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</si>
  <si>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</si>
  <si>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</si>
  <si>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</si>
  <si>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</si>
  <si>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</si>
  <si>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</si>
  <si>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</si>
  <si>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</si>
  <si>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</si>
  <si>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</si>
  <si>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</si>
  <si>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</si>
  <si>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</si>
  <si>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</si>
  <si>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</si>
  <si>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</si>
  <si>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</si>
  <si>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</si>
  <si>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</si>
  <si>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</si>
  <si>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</si>
  <si>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</si>
  <si>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</si>
  <si>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</si>
  <si>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</si>
  <si>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</si>
  <si>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</si>
  <si>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</si>
  <si>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</si>
  <si>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</si>
  <si>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</si>
  <si>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</si>
  <si>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</si>
  <si>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</si>
  <si>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</si>
  <si>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</si>
  <si>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</si>
  <si>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</si>
  <si>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</si>
  <si>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</si>
  <si>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</si>
  <si>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</si>
  <si>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</si>
  <si>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</si>
  <si>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</si>
  <si>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</si>
  <si>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</si>
  <si>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</si>
  <si>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</si>
  <si>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</si>
  <si>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</si>
  <si>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</si>
  <si>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</si>
  <si>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</si>
  <si>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</si>
  <si>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</si>
  <si>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</si>
  <si>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</si>
  <si>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</si>
  <si>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</si>
  <si>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</si>
  <si>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</si>
  <si>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</si>
  <si>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</si>
  <si>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</si>
  <si>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</si>
  <si>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</si>
  <si>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</si>
  <si>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</si>
  <si>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</si>
  <si>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</si>
  <si>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</si>
  <si>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</si>
  <si>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</si>
  <si>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</si>
  <si>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</si>
  <si>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</si>
  <si>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</si>
  <si>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</si>
  <si>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</si>
  <si>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</si>
  <si>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</si>
  <si>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</si>
  <si>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</si>
  <si>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</si>
  <si>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</si>
  <si>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</si>
  <si>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</si>
  <si>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</si>
  <si>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</si>
  <si>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</si>
  <si>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</si>
  <si>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</si>
  <si>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</si>
  <si>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</si>
  <si>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</si>
  <si>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</si>
  <si>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</si>
  <si>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</si>
  <si>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</si>
  <si>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</si>
  <si>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</si>
  <si>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</si>
  <si>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</si>
  <si>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</si>
  <si>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</si>
  <si>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</si>
  <si>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</si>
  <si>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</si>
  <si>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</si>
  <si>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</si>
  <si>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</si>
  <si>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</si>
  <si>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</si>
  <si>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</si>
  <si>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</si>
  <si>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</si>
  <si>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</si>
  <si>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</si>
  <si>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</si>
  <si>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</si>
  <si>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</si>
  <si>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</si>
  <si>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</si>
  <si>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</si>
  <si>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</si>
  <si>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</si>
  <si>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</si>
  <si>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</si>
  <si>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</si>
  <si>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</si>
  <si>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</si>
  <si>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</si>
  <si>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</si>
  <si>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</si>
  <si>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</si>
  <si>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</si>
  <si>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</si>
  <si>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</si>
  <si>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</si>
  <si>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</si>
  <si>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</si>
  <si>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</si>
  <si>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</si>
  <si>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</si>
  <si>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</si>
  <si>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</si>
  <si>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</si>
  <si>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</si>
  <si>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</si>
  <si>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</si>
  <si>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</si>
  <si>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</si>
  <si>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</si>
  <si>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</si>
  <si>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</si>
  <si>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</si>
  <si>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</si>
  <si>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</si>
  <si>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</si>
  <si>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</si>
  <si>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</si>
  <si>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</si>
  <si>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</si>
  <si>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</si>
  <si>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</si>
  <si>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</si>
  <si>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</si>
  <si>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</si>
  <si>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</si>
  <si>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</si>
  <si>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</si>
  <si>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</si>
  <si>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</si>
  <si>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</si>
  <si>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</si>
  <si>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</si>
  <si>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</si>
  <si>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</si>
  <si>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</si>
  <si>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</si>
  <si>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</si>
  <si>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</si>
  <si>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</si>
  <si>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</si>
  <si>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</si>
  <si>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</si>
  <si>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</si>
  <si>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</si>
  <si>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</si>
  <si>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</si>
  <si>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</si>
  <si>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</si>
  <si>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</si>
  <si>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</si>
  <si>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</si>
  <si>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</si>
  <si>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</si>
  <si>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</si>
  <si>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</si>
  <si>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</si>
  <si>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</si>
  <si>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</si>
  <si>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</si>
  <si>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</si>
  <si>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</si>
  <si>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</si>
  <si>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</si>
  <si>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</si>
  <si>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</si>
  <si>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</si>
  <si>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</si>
  <si>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</si>
  <si>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</si>
  <si>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</si>
  <si>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</si>
  <si>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</si>
  <si>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</si>
  <si>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</si>
  <si>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</si>
  <si>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</si>
  <si>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</si>
  <si>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</si>
  <si>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</si>
  <si>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</si>
  <si>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</si>
  <si>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</si>
  <si>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</si>
  <si>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</si>
  <si>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</si>
  <si>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</si>
  <si>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</si>
  <si>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</si>
  <si>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</si>
  <si>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</si>
  <si>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</si>
  <si>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</si>
  <si>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</si>
  <si>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</si>
  <si>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</si>
  <si>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</si>
  <si>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</si>
  <si>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</si>
  <si>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</si>
  <si>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</si>
  <si>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</si>
  <si>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</si>
  <si>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</si>
  <si>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</si>
  <si>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</si>
  <si>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</si>
  <si>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</si>
  <si>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</si>
  <si>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</si>
  <si>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</si>
  <si>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</si>
  <si>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</si>
  <si>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</si>
  <si>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</si>
  <si>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</si>
  <si>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</si>
  <si>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</si>
  <si>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</si>
  <si>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</si>
  <si>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</si>
  <si>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</si>
  <si>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</si>
  <si>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</si>
  <si>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</si>
  <si>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</si>
  <si>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</si>
  <si>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</si>
  <si>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</si>
  <si>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</si>
  <si>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</si>
  <si>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</si>
  <si>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</si>
  <si>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</si>
  <si>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</si>
  <si>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</si>
  <si>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</si>
  <si>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</si>
  <si>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</si>
  <si>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</si>
  <si>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</si>
  <si>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</si>
  <si>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</si>
  <si>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</si>
  <si>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</si>
  <si>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</si>
  <si>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</si>
  <si>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</si>
  <si>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</si>
  <si>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</si>
  <si>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</si>
  <si>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</si>
  <si>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</si>
  <si>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</si>
  <si>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</si>
  <si>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</si>
  <si>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</si>
  <si>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</si>
  <si>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</si>
  <si>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</si>
  <si>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</si>
  <si>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</si>
  <si>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</si>
  <si>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</si>
  <si>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</si>
  <si>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</si>
  <si>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</si>
  <si>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</si>
  <si>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</si>
  <si>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</si>
  <si>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</si>
  <si>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</si>
  <si>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</si>
  <si>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</si>
  <si>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</si>
  <si>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</si>
  <si>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</si>
  <si>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</si>
  <si>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</si>
  <si>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</si>
  <si>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</si>
  <si>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</si>
  <si>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</si>
  <si>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</si>
  <si>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</si>
  <si>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</si>
  <si>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</si>
  <si>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</si>
  <si>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</si>
  <si>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</si>
  <si>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</si>
  <si>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</si>
  <si>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</si>
  <si>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</si>
  <si>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</si>
  <si>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</si>
  <si>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</si>
  <si>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</si>
  <si>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</si>
  <si>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</si>
  <si>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</si>
  <si>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</si>
  <si>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</si>
  <si>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</si>
  <si>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</si>
  <si>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</si>
  <si>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</si>
  <si>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</si>
  <si>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</si>
  <si>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</si>
  <si>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</si>
  <si>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</si>
  <si>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</si>
  <si>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</si>
  <si>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</si>
  <si>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</si>
  <si>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</si>
  <si>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</si>
  <si>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</si>
  <si>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</si>
  <si>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</si>
  <si>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</si>
  <si>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</si>
  <si>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</si>
  <si>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</si>
  <si>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</si>
  <si>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</si>
  <si>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</si>
  <si>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</si>
  <si>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</si>
  <si>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</si>
  <si>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</si>
  <si>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</si>
  <si>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</si>
  <si>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</si>
  <si>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</si>
  <si>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</si>
  <si>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</si>
  <si>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</si>
  <si>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</si>
  <si>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</si>
  <si>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</si>
  <si>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</si>
  <si>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</si>
  <si>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</si>
  <si>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</si>
  <si>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</si>
  <si>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</si>
  <si>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</si>
  <si>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</si>
  <si>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</si>
  <si>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</si>
  <si>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</si>
  <si>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</si>
  <si>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</si>
  <si>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</si>
  <si>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</si>
  <si>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</si>
  <si>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</si>
  <si>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</si>
  <si>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</si>
  <si>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</si>
  <si>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</si>
  <si>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</si>
  <si>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</si>
  <si>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</si>
  <si>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</si>
  <si>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</si>
  <si>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</si>
  <si>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</si>
  <si>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</si>
  <si>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</si>
  <si>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</si>
  <si>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</si>
  <si>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</si>
  <si>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</si>
  <si>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</si>
  <si>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</si>
  <si>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</si>
  <si>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</si>
  <si>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</si>
  <si>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</si>
  <si>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</si>
  <si>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</si>
  <si>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</si>
  <si>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</si>
  <si>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</si>
  <si>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</si>
  <si>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</si>
  <si>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</si>
  <si>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</si>
  <si>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</si>
  <si>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</si>
  <si>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</si>
  <si>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</si>
  <si>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</si>
  <si>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</si>
  <si>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</si>
  <si>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</si>
  <si>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</si>
  <si>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</si>
  <si>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</si>
  <si>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</si>
  <si>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</si>
  <si>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</si>
  <si>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</si>
  <si>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</si>
  <si>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</si>
  <si>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</si>
  <si>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</si>
  <si>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</si>
  <si>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</si>
  <si>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</si>
  <si>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</si>
  <si>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</si>
  <si>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</si>
  <si>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</si>
  <si>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</si>
  <si>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</si>
  <si>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</si>
  <si>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</si>
  <si>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</si>
  <si>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</si>
  <si>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</si>
  <si>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</si>
  <si>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</si>
  <si>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</si>
  <si>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</si>
  <si>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</si>
  <si>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</si>
  <si>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</si>
  <si>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</si>
  <si>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</si>
  <si>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</si>
  <si>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</si>
  <si>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</si>
  <si>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</si>
  <si>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</si>
  <si>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</si>
  <si>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</si>
  <si>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</si>
  <si>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</si>
  <si>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</si>
  <si>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</si>
  <si>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</si>
  <si>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</si>
  <si>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</si>
  <si>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</si>
  <si>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</si>
  <si>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</si>
  <si>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</si>
  <si>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</si>
  <si>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</si>
  <si>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</si>
  <si>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</si>
  <si>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</si>
  <si>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</si>
  <si>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</si>
  <si>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</si>
  <si>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</si>
  <si>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</si>
  <si>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</si>
  <si>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</si>
  <si>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</si>
  <si>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</si>
  <si>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</si>
  <si>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</si>
  <si>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</si>
  <si>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</si>
  <si>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</si>
  <si>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</si>
  <si>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</si>
  <si>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</si>
  <si>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</si>
  <si>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</si>
  <si>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</si>
  <si>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</si>
  <si>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</si>
  <si>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</si>
  <si>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</si>
  <si>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</si>
  <si>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</si>
  <si>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</si>
  <si>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</si>
  <si>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</si>
  <si>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</si>
  <si>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</si>
  <si>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</si>
  <si>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</si>
  <si>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</si>
  <si>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</si>
  <si>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</si>
  <si>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</si>
  <si>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</si>
  <si>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</si>
  <si>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</si>
  <si>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</si>
  <si>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</si>
  <si>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</si>
  <si>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</si>
  <si>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</si>
  <si>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</si>
  <si>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</si>
  <si>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</si>
  <si>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</si>
  <si>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</si>
  <si>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</si>
  <si>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</si>
  <si>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</si>
  <si>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</si>
  <si>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</si>
  <si>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</si>
  <si>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</si>
  <si>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</si>
  <si>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</si>
  <si>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</si>
  <si>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</si>
  <si>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</si>
  <si>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</si>
  <si>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</si>
  <si>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</si>
  <si>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</si>
  <si>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</si>
  <si>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</si>
  <si>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</si>
  <si>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</si>
  <si>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</si>
  <si>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</si>
  <si>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</si>
  <si>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</si>
  <si>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</si>
  <si>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</si>
  <si>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</si>
  <si>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</si>
  <si>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</si>
  <si>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</si>
  <si>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</si>
  <si>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</si>
  <si>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</si>
  <si>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</si>
  <si>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</si>
  <si>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</si>
  <si>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</si>
  <si>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</si>
  <si>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</si>
  <si>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</si>
  <si>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</si>
  <si>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</si>
  <si>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</si>
  <si>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</si>
  <si>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</si>
  <si>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</si>
  <si>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</si>
  <si>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</si>
  <si>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</si>
  <si>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</si>
  <si>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</si>
  <si>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</si>
  <si>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</si>
  <si>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</si>
  <si>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</si>
  <si>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</si>
  <si>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</si>
  <si>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</si>
  <si>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</si>
  <si>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</si>
  <si>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</si>
  <si>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</si>
  <si>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</si>
  <si>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</si>
  <si>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</si>
  <si>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</si>
  <si>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</si>
  <si>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</si>
  <si>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</si>
  <si>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</si>
  <si>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</si>
  <si>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</si>
  <si>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</si>
  <si>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</si>
  <si>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</si>
  <si>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</si>
  <si>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</si>
  <si>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</si>
  <si>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</si>
  <si>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</si>
  <si>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</si>
  <si>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</si>
  <si>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</si>
  <si>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</si>
  <si>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</si>
  <si>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</si>
  <si>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</si>
  <si>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</si>
  <si>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</si>
  <si>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</si>
  <si>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</si>
  <si>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</si>
  <si>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</si>
  <si>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</si>
  <si>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</si>
  <si>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</si>
  <si>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</si>
  <si>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</si>
  <si>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</si>
  <si>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</si>
  <si>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</si>
  <si>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</si>
  <si>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</si>
  <si>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</si>
  <si>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</si>
  <si>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</si>
  <si>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</si>
  <si>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</si>
  <si>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</si>
  <si>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</si>
  <si>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</si>
  <si>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</si>
  <si>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</si>
  <si>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</si>
  <si>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</si>
  <si>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</si>
  <si>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</si>
  <si>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</si>
  <si>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</si>
  <si>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</si>
  <si>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</si>
  <si>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</si>
  <si>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</si>
  <si>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</si>
  <si>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</si>
  <si>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</si>
  <si>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</si>
  <si>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</si>
  <si>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</si>
  <si>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</si>
  <si>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</si>
  <si>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</si>
  <si>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</si>
  <si>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</si>
  <si>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</si>
  <si>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</si>
  <si>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</si>
  <si>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</si>
  <si>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</si>
  <si>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</si>
  <si>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</si>
  <si>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</si>
  <si>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</si>
  <si>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</si>
  <si>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</si>
  <si>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</si>
  <si>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</si>
  <si>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</si>
  <si>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</si>
  <si>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</si>
  <si>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</si>
  <si>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</si>
  <si>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</si>
  <si>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</si>
  <si>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</si>
  <si>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</si>
  <si>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</si>
  <si>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</si>
  <si>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</si>
  <si>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</si>
  <si>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</si>
  <si>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</si>
  <si>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</si>
  <si>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</si>
  <si>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</si>
  <si>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</si>
  <si>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</si>
  <si>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</si>
  <si>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</si>
  <si>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</si>
  <si>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</si>
  <si>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</si>
  <si>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</si>
  <si>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</si>
  <si>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</si>
  <si>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</si>
  <si>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</si>
  <si>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</si>
  <si>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</si>
  <si>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</si>
  <si>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</si>
  <si>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</si>
  <si>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</si>
  <si>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</si>
  <si>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</si>
  <si>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</si>
  <si>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</si>
  <si>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</si>
  <si>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</si>
  <si>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</si>
  <si>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</si>
  <si>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</si>
  <si>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</si>
  <si>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</si>
  <si>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</si>
  <si>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</si>
  <si>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</si>
  <si>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</si>
  <si>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</si>
  <si>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</si>
  <si>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</si>
  <si>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</si>
  <si>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</si>
  <si>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</si>
  <si>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</si>
  <si>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</si>
  <si>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</si>
  <si>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</si>
  <si>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</si>
  <si>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</si>
  <si>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</si>
  <si>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</si>
  <si>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</si>
  <si>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</si>
  <si>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</si>
  <si>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</si>
  <si>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</si>
  <si>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</si>
  <si>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</si>
  <si>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</si>
  <si>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</si>
  <si>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</si>
  <si>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</si>
  <si>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</si>
  <si>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</si>
  <si>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</si>
  <si>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</si>
  <si>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</si>
  <si>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</si>
  <si>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</si>
  <si>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</si>
  <si>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</si>
  <si>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</si>
  <si>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</si>
  <si>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</si>
  <si>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</si>
  <si>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</si>
  <si>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</si>
  <si>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</si>
  <si>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</si>
  <si>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</si>
  <si>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</si>
  <si>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</si>
  <si>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</si>
  <si>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</si>
  <si>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</si>
  <si>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</si>
  <si>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</si>
  <si>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</si>
  <si>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</si>
  <si>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</si>
  <si>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</si>
  <si>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</si>
  <si>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</si>
  <si>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</si>
  <si>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</si>
  <si>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</si>
  <si>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</si>
  <si>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</si>
  <si>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</si>
  <si>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</si>
  <si>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</si>
  <si>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</si>
  <si>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</si>
  <si>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</si>
  <si>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</si>
  <si>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</si>
  <si>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</si>
  <si>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</si>
  <si>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</si>
  <si>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</si>
  <si>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</si>
  <si>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</si>
  <si>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</si>
  <si>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</si>
  <si>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</si>
  <si>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</si>
  <si>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</si>
  <si>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</si>
  <si>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</si>
  <si>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</si>
  <si>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</si>
  <si>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</si>
  <si>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</si>
  <si>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</si>
  <si>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</si>
  <si>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</si>
  <si>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</si>
  <si>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</si>
  <si>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</si>
  <si>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</si>
  <si>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</si>
  <si>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</si>
  <si>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</si>
  <si>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</si>
  <si>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</si>
  <si>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</si>
  <si>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</si>
  <si>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</si>
  <si>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</si>
  <si>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</si>
  <si>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</si>
  <si>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</si>
  <si>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</si>
  <si>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</si>
  <si>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</si>
  <si>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</si>
  <si>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</si>
  <si>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</si>
  <si>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</si>
  <si>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</si>
  <si>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</si>
  <si>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</si>
  <si>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</si>
  <si>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</si>
  <si>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</si>
  <si>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</si>
  <si>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</si>
  <si>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</si>
  <si>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</si>
  <si>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</si>
  <si>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</si>
  <si>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</si>
  <si>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</si>
  <si>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</si>
  <si>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</si>
  <si>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</si>
  <si>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</si>
  <si>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</si>
  <si>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</si>
  <si>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</si>
  <si>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</si>
  <si>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</si>
  <si>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</si>
  <si>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</si>
  <si>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</si>
  <si>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</si>
  <si>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</si>
  <si>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</si>
  <si>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</si>
  <si>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</si>
  <si>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</si>
  <si>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</si>
  <si>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</si>
  <si>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</si>
  <si>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</si>
  <si>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</si>
  <si>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</si>
  <si>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</si>
  <si>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</si>
  <si>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</si>
  <si>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</si>
  <si>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</si>
  <si>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</si>
  <si>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</si>
  <si>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</si>
  <si>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</si>
  <si>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</si>
  <si>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</si>
  <si>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</si>
  <si>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</si>
  <si>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</si>
  <si>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</si>
  <si>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</si>
  <si>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</si>
  <si>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</si>
  <si>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</si>
  <si>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</si>
  <si>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</si>
  <si>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</si>
  <si>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</si>
  <si>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</si>
  <si>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</si>
  <si>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</si>
  <si>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</si>
  <si>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</si>
  <si>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</si>
  <si>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</si>
  <si>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</si>
  <si>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</si>
  <si>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</si>
  <si>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</si>
  <si>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</si>
  <si>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</si>
  <si>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</si>
  <si>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</si>
  <si>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</si>
  <si>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</si>
  <si>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</si>
  <si>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</si>
  <si>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</si>
  <si>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</si>
  <si>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</si>
  <si>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</si>
  <si>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</si>
  <si>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</si>
  <si>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</si>
  <si>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</si>
  <si>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</si>
  <si>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</si>
  <si>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</si>
  <si>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</si>
  <si>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</si>
  <si>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</si>
  <si>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</si>
  <si>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</si>
  <si>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</si>
  <si>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</si>
  <si>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</si>
  <si>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</si>
  <si>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</si>
  <si>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</si>
  <si>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</si>
  <si>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</si>
  <si>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</si>
  <si>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</si>
  <si>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</si>
  <si>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</si>
  <si>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</si>
  <si>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</si>
  <si>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</si>
  <si>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</si>
  <si>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</si>
  <si>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</si>
  <si>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</si>
  <si>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</si>
  <si>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</si>
  <si>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</si>
  <si>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</si>
  <si>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</si>
  <si>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</si>
  <si>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</si>
  <si>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</si>
  <si>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</si>
  <si>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</si>
  <si>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</si>
  <si>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</si>
  <si>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</si>
  <si>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</si>
  <si>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</si>
  <si>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</si>
  <si>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</si>
  <si>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</si>
  <si>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</si>
  <si>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</si>
  <si>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</si>
  <si>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</si>
  <si>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</si>
  <si>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</si>
  <si>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</si>
  <si>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</si>
  <si>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</si>
  <si>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</si>
  <si>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</si>
  <si>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</si>
  <si>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</si>
  <si>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</si>
  <si>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</si>
  <si>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</si>
  <si>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</si>
  <si>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</si>
  <si>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</si>
  <si>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</si>
  <si>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</si>
  <si>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</si>
  <si>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</si>
  <si>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</si>
  <si>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</si>
  <si>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</si>
  <si>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</si>
  <si>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</si>
  <si>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</si>
  <si>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</si>
  <si>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</si>
  <si>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</si>
  <si>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</si>
  <si>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</si>
  <si>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</si>
  <si>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</si>
  <si>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</si>
  <si>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</si>
  <si>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</si>
  <si>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</si>
  <si>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</si>
  <si>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</si>
  <si>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</si>
  <si>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</si>
  <si>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</si>
  <si>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</si>
  <si>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</si>
  <si>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</si>
  <si>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</si>
  <si>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</si>
  <si>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</si>
  <si>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</si>
  <si>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</si>
  <si>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</si>
  <si>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</si>
  <si>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</si>
  <si>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</si>
  <si>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</si>
  <si>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</si>
  <si>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</si>
  <si>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</si>
  <si>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</si>
  <si>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</si>
  <si>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</si>
  <si>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</si>
  <si>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</si>
  <si>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</si>
  <si>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</si>
  <si>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</si>
  <si>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</si>
  <si>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</si>
  <si>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</si>
  <si>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</si>
  <si>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</si>
  <si>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</si>
  <si>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</si>
  <si>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</si>
  <si>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</si>
  <si>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</si>
  <si>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</si>
  <si>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</si>
  <si>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</si>
  <si>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</si>
  <si>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</si>
  <si>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</si>
  <si>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</si>
  <si>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</si>
  <si>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</si>
  <si>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</si>
  <si>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</si>
  <si>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</si>
  <si>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</si>
  <si>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</si>
  <si>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</si>
  <si>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</si>
  <si>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</si>
  <si>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</si>
  <si>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</si>
  <si>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</si>
  <si>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</si>
  <si>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</si>
  <si>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</si>
  <si>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</si>
  <si>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</si>
  <si>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</si>
  <si>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</si>
  <si>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</si>
  <si>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</si>
  <si>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</si>
  <si>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</si>
  <si>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</si>
  <si>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</si>
  <si>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</si>
  <si>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</si>
  <si>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</si>
  <si>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</si>
  <si>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</si>
  <si>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</si>
  <si>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</si>
  <si>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</si>
  <si>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</si>
  <si>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</si>
  <si>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</si>
  <si>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</si>
  <si>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</si>
  <si>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</si>
  <si>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</si>
  <si>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</si>
  <si>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</si>
  <si>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</si>
  <si>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</si>
  <si>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</si>
  <si>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</si>
  <si>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</si>
  <si>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</si>
  <si>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</si>
  <si>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</si>
  <si>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</si>
  <si>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</si>
  <si>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</si>
  <si>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</si>
  <si>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</si>
  <si>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</si>
  <si>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</si>
  <si>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</si>
  <si>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</si>
  <si>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</si>
  <si>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</si>
  <si>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</si>
  <si>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</si>
  <si>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</si>
  <si>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</si>
  <si>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</si>
  <si>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</si>
  <si>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</si>
  <si>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</si>
  <si>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</si>
  <si>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</si>
  <si>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</si>
  <si>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</si>
  <si>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</si>
  <si>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</si>
  <si>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</si>
  <si>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</si>
  <si>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</si>
  <si>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</si>
  <si>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</si>
  <si>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</si>
  <si>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</si>
  <si>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</si>
  <si>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</si>
  <si>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</si>
  <si>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</si>
  <si>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</si>
  <si>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</si>
  <si>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</si>
  <si>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</si>
  <si>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</si>
  <si>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</si>
  <si>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</si>
  <si>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</si>
  <si>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</si>
  <si>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</si>
  <si>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</si>
  <si>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</si>
  <si>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</si>
  <si>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</si>
  <si>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</si>
  <si>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</si>
  <si>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</si>
  <si>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</si>
  <si>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</si>
  <si>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</si>
  <si>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</si>
  <si>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</si>
  <si>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</si>
  <si>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</si>
  <si>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</si>
  <si>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</si>
  <si>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</si>
  <si>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</si>
  <si>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</si>
  <si>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</si>
  <si>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</si>
  <si>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</si>
  <si>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</si>
  <si>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</si>
  <si>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</si>
  <si>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</si>
  <si>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</si>
  <si>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</si>
  <si>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</si>
  <si>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</si>
  <si>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</si>
  <si>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</si>
  <si>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</si>
  <si>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</si>
  <si>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</si>
  <si>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</si>
  <si>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</si>
  <si>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</si>
  <si>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</si>
  <si>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</si>
  <si>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</si>
  <si>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</si>
  <si>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</si>
  <si>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</si>
  <si>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</si>
  <si>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</si>
  <si>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</si>
  <si>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</si>
  <si>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</si>
  <si>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</si>
  <si>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</si>
  <si>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</si>
  <si>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</si>
  <si>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</si>
  <si>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</si>
  <si>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</si>
  <si>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</si>
  <si>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</si>
  <si>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</si>
  <si>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</si>
  <si>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</si>
  <si>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</si>
  <si>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</si>
  <si>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</si>
  <si>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</si>
  <si>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</si>
  <si>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</si>
  <si>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</si>
  <si>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</si>
  <si>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</si>
  <si>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</si>
  <si>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</si>
  <si>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</si>
  <si>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</si>
  <si>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</si>
  <si>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</si>
  <si>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</si>
  <si>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</si>
  <si>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</si>
  <si>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</si>
  <si>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</si>
  <si>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</si>
  <si>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</si>
  <si>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</si>
  <si>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</si>
  <si>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</si>
  <si>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</si>
  <si>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</si>
  <si>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</si>
  <si>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</si>
  <si>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</si>
  <si>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</si>
  <si>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</si>
  <si>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</si>
  <si>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</si>
  <si>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</si>
  <si>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</si>
  <si>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</si>
  <si>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</si>
  <si>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</si>
  <si>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</si>
  <si>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</si>
  <si>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</si>
  <si>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</si>
  <si>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</si>
  <si>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</si>
  <si>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</si>
  <si>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</si>
  <si>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</si>
  <si>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</si>
  <si>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</si>
  <si>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</si>
  <si>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</si>
  <si>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</si>
  <si>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</si>
  <si>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</si>
  <si>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</si>
  <si>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</si>
  <si>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</si>
  <si>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</si>
  <si>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</si>
  <si>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</si>
  <si>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</si>
  <si>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</si>
  <si>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</si>
  <si>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</si>
  <si>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</si>
  <si>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</si>
  <si>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</si>
  <si>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</si>
  <si>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</si>
  <si>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</si>
  <si>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</si>
  <si>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</si>
  <si>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</si>
  <si>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</si>
  <si>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</si>
  <si>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</si>
  <si>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</si>
  <si>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</si>
  <si>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</si>
  <si>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</si>
  <si>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</si>
  <si>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</si>
  <si>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</si>
  <si>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</si>
  <si>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</si>
  <si>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</si>
  <si>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</si>
  <si>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</si>
  <si>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</si>
  <si>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</si>
  <si>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</si>
  <si>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</si>
  <si>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</si>
  <si>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</si>
  <si>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</si>
  <si>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</si>
  <si>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</si>
  <si>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</si>
  <si>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</si>
  <si>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</si>
  <si>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</si>
  <si>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</si>
  <si>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</si>
  <si>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</si>
  <si>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</si>
  <si>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</si>
  <si>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</si>
  <si>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</si>
  <si>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</si>
  <si>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</si>
  <si>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</si>
  <si>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</si>
  <si>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</si>
  <si>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</si>
  <si>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</si>
  <si>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</si>
  <si>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</si>
  <si>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</si>
  <si>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</si>
  <si>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</si>
  <si>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</si>
  <si>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</si>
  <si>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</si>
  <si>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</si>
  <si>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</si>
  <si>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</si>
  <si>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</si>
  <si>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</si>
  <si>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</si>
  <si>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</si>
  <si>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</si>
  <si>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</si>
  <si>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</si>
  <si>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</si>
  <si>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</si>
  <si>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</si>
  <si>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</si>
  <si>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</si>
  <si>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</si>
  <si>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</si>
  <si>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</si>
  <si>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</si>
  <si>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</si>
  <si>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</si>
  <si>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</si>
  <si>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</si>
  <si>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</si>
  <si>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</si>
  <si>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</si>
  <si>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</si>
  <si>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</si>
  <si>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</si>
  <si>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</si>
  <si>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</si>
  <si>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</si>
  <si>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</si>
  <si>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</si>
  <si>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</si>
  <si>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</si>
  <si>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</si>
  <si>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</si>
  <si>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</si>
  <si>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</si>
  <si>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</si>
  <si>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</si>
  <si>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</si>
  <si>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</si>
  <si>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</si>
  <si>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</si>
  <si>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</si>
  <si>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</si>
  <si>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</si>
  <si>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</si>
  <si>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</si>
  <si>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</si>
  <si>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</si>
  <si>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</si>
  <si>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</si>
  <si>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</si>
  <si>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</si>
  <si>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</si>
  <si>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</si>
  <si>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</si>
  <si>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</si>
  <si>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</si>
  <si>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</si>
  <si>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</si>
  <si>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</si>
  <si>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</si>
  <si>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</si>
  <si>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</si>
  <si>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</si>
  <si>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</si>
  <si>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</si>
  <si>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</si>
  <si>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</si>
  <si>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</si>
  <si>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</si>
  <si>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</si>
  <si>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</si>
  <si>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</si>
  <si>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</si>
  <si>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</si>
  <si>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</si>
  <si>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</si>
  <si>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</si>
  <si>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</si>
  <si>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</si>
  <si>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</si>
  <si>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</si>
  <si>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</si>
  <si>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</si>
  <si>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</si>
  <si>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</si>
  <si>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</si>
  <si>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</si>
  <si>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</si>
  <si>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</si>
  <si>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</si>
  <si>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</si>
  <si>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</si>
  <si>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</si>
  <si>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</si>
  <si>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</si>
  <si>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</si>
  <si>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</si>
  <si>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</si>
  <si>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</si>
  <si>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</si>
  <si>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</si>
  <si>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</si>
  <si>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</si>
  <si>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</si>
  <si>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</si>
  <si>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</si>
  <si>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</si>
  <si>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</si>
  <si>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</si>
  <si>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</si>
  <si>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</si>
  <si>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</si>
  <si>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</si>
  <si>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</si>
  <si>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</si>
  <si>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</si>
  <si>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</si>
  <si>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</si>
  <si>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</si>
  <si>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</si>
  <si>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</si>
  <si>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</si>
  <si>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</si>
  <si>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</si>
  <si>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</si>
  <si>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</si>
  <si>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</si>
  <si>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</si>
  <si>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</si>
  <si>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</si>
  <si>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</si>
  <si>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</si>
  <si>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</si>
  <si>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</si>
  <si>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</si>
  <si>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</si>
  <si>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</si>
  <si>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</si>
  <si>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</si>
  <si>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</si>
  <si>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</si>
  <si>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</si>
  <si>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</si>
  <si>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</si>
  <si>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</si>
  <si>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</si>
  <si>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</si>
  <si>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</si>
  <si>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</si>
  <si>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</si>
  <si>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</si>
  <si>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</si>
  <si>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</si>
  <si>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</si>
  <si>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</si>
  <si>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</si>
  <si>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</si>
  <si>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</si>
  <si>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</si>
  <si>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</si>
  <si>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</si>
  <si>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</si>
  <si>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</si>
  <si>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</si>
  <si>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</si>
  <si>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</si>
  <si>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</si>
  <si>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</si>
  <si>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</si>
  <si>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</si>
  <si>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</si>
  <si>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</si>
  <si>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</si>
  <si>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</si>
  <si>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</si>
  <si>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</si>
  <si>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</si>
  <si>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</si>
  <si>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</si>
  <si>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</si>
  <si>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</si>
  <si>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</si>
  <si>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</si>
  <si>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</si>
  <si>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</si>
  <si>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</si>
  <si>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</si>
  <si>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</si>
  <si>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</si>
  <si>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</si>
  <si>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</si>
  <si>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</si>
  <si>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</si>
  <si>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</si>
  <si>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</si>
  <si>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</si>
  <si>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</si>
  <si>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</si>
  <si>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</si>
  <si>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</si>
  <si>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</si>
  <si>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</si>
  <si>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</si>
  <si>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</si>
  <si>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</si>
  <si>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</si>
  <si>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</si>
  <si>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</si>
  <si>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</si>
  <si>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</si>
  <si>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</si>
  <si>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</si>
  <si>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</si>
  <si>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</si>
  <si>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</si>
  <si>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</si>
  <si>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</si>
  <si>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</si>
  <si>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</si>
  <si>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</si>
  <si>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</si>
  <si>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</si>
  <si>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</si>
  <si>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</si>
  <si>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</si>
  <si>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</si>
  <si>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</si>
  <si>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</si>
  <si>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</si>
  <si>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</si>
  <si>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</si>
  <si>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</si>
  <si>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</si>
  <si>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</si>
  <si>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</si>
  <si>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</si>
  <si>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</si>
  <si>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</si>
  <si>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</si>
  <si>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</si>
  <si>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</si>
  <si>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</si>
  <si>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</si>
  <si>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</si>
  <si>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</si>
  <si>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</si>
  <si>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</si>
  <si>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</si>
  <si>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</si>
  <si>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</si>
  <si>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</si>
  <si>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</si>
  <si>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</si>
  <si>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</si>
  <si>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</si>
  <si>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</si>
  <si>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</si>
  <si>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</si>
  <si>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</si>
  <si>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</si>
  <si>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</si>
  <si>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</si>
  <si>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</si>
  <si>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</si>
  <si>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</si>
  <si>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</si>
  <si>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</si>
  <si>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</si>
  <si>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</si>
  <si>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</si>
  <si>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</si>
  <si>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</si>
  <si>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</si>
  <si>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</si>
  <si>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</si>
  <si>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</si>
  <si>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</si>
  <si>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</si>
  <si>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</si>
  <si>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</si>
  <si>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</si>
  <si>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</si>
  <si>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</si>
  <si>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</si>
  <si>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</si>
  <si>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</si>
  <si>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</si>
  <si>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</si>
  <si>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</si>
  <si>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</si>
  <si>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</si>
  <si>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</si>
  <si>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</si>
  <si>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</si>
  <si>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</si>
  <si>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</si>
  <si>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</si>
  <si>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</si>
  <si>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</si>
  <si>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</si>
  <si>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</si>
  <si>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</si>
  <si>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</si>
  <si>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</si>
  <si>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</si>
  <si>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</si>
  <si>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</si>
  <si>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</si>
  <si>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</si>
  <si>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</si>
  <si>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</si>
  <si>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</si>
  <si>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</si>
  <si>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</si>
  <si>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</si>
  <si>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</si>
  <si>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</si>
  <si>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</si>
  <si>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</si>
  <si>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</si>
  <si>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</si>
  <si>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</si>
  <si>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</si>
  <si>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</si>
  <si>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</si>
  <si>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</si>
  <si>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</si>
  <si>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</si>
  <si>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</si>
  <si>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</si>
  <si>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</si>
  <si>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</si>
  <si>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</si>
  <si>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</si>
  <si>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</si>
  <si>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</si>
  <si>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</si>
  <si>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</si>
  <si>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</si>
  <si>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</si>
  <si>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</si>
  <si>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</si>
  <si>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</si>
  <si>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</si>
  <si>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</si>
  <si>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</si>
  <si>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</si>
  <si>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</si>
  <si>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</si>
  <si>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</si>
  <si>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</si>
  <si>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</si>
  <si>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</si>
  <si>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</si>
  <si>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</si>
  <si>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</si>
  <si>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</si>
  <si>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</si>
  <si>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</si>
  <si>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</si>
  <si>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</si>
  <si>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</si>
  <si>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</si>
  <si>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</si>
  <si>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</si>
  <si>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</si>
  <si>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</si>
  <si>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</si>
  <si>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</si>
  <si>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</si>
  <si>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</si>
  <si>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</si>
  <si>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</si>
  <si>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</si>
  <si>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</si>
  <si>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</si>
  <si>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</si>
  <si>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</si>
  <si>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</si>
  <si>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</si>
  <si>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</si>
  <si>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</si>
  <si>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</si>
  <si>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</si>
  <si>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</si>
  <si>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</si>
  <si>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</si>
  <si>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</si>
  <si>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</si>
  <si>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</si>
  <si>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</si>
  <si>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</si>
  <si>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</si>
  <si>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</si>
  <si>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</si>
  <si>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</si>
  <si>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</si>
  <si>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</si>
  <si>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</si>
  <si>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</si>
  <si>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</si>
  <si>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</si>
  <si>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</si>
  <si>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</si>
  <si>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</si>
  <si>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</si>
  <si>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</si>
  <si>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</si>
  <si>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</si>
  <si>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</si>
  <si>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</si>
  <si>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</si>
  <si>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</si>
  <si>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</si>
  <si>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</si>
  <si>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</si>
  <si>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</si>
  <si>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</si>
  <si>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</si>
  <si>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</si>
  <si>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</si>
  <si>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</si>
  <si>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</si>
  <si>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</si>
  <si>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</si>
  <si>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</si>
  <si>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</si>
  <si>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</si>
  <si>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</si>
  <si>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</si>
  <si>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</si>
  <si>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</si>
  <si>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</si>
  <si>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</si>
  <si>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</si>
  <si>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</si>
  <si>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</si>
  <si>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</si>
  <si>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</si>
  <si>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</si>
  <si>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</si>
  <si>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</si>
  <si>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</si>
  <si>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</si>
  <si>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</si>
  <si>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</si>
  <si>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</si>
  <si>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</si>
  <si>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</si>
  <si>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</si>
  <si>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</si>
  <si>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</si>
  <si>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</si>
  <si>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</si>
  <si>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</si>
  <si>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</si>
  <si>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</si>
  <si>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</si>
  <si>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</si>
  <si>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</si>
  <si>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</si>
  <si>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</si>
  <si>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</si>
  <si>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</si>
  <si>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</si>
  <si>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</si>
  <si>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</si>
  <si>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</si>
  <si>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</si>
  <si>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</si>
  <si>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</si>
  <si>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</si>
  <si>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</si>
  <si>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</si>
  <si>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</si>
  <si>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</si>
  <si>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</si>
  <si>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</si>
  <si>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</si>
  <si>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</si>
  <si>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</si>
  <si>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</si>
  <si>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</si>
  <si>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</si>
  <si>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</si>
  <si>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</si>
  <si>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</si>
  <si>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</si>
  <si>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</si>
  <si>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</si>
  <si>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</si>
  <si>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</si>
  <si>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</si>
  <si>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</si>
  <si>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</si>
  <si>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</si>
  <si>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</si>
  <si>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</si>
  <si>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</si>
  <si>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</si>
  <si>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</si>
  <si>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</si>
  <si>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</si>
  <si>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</si>
  <si>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</si>
  <si>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</si>
  <si>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</si>
  <si>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</si>
  <si>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</si>
  <si>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</si>
  <si>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</si>
  <si>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</si>
  <si>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</si>
  <si>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</si>
  <si>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</si>
  <si>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</si>
  <si>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</si>
  <si>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</si>
  <si>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</si>
  <si>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</si>
  <si>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</si>
  <si>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</si>
  <si>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</si>
  <si>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</si>
  <si>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</si>
  <si>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</si>
  <si>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</si>
  <si>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</si>
  <si>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</si>
  <si>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</si>
  <si>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</si>
  <si>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</si>
  <si>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</si>
  <si>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</si>
  <si>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</si>
  <si>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</si>
  <si>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</si>
  <si>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</si>
  <si>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</si>
  <si>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</si>
  <si>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</si>
  <si>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</si>
  <si>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</si>
  <si>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</si>
  <si>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</si>
  <si>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</si>
  <si>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</si>
  <si>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</si>
  <si>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</si>
  <si>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</si>
  <si>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</si>
  <si>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</si>
  <si>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</si>
  <si>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</si>
  <si>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</si>
  <si>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</si>
  <si>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</si>
  <si>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</si>
  <si>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</si>
  <si>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</si>
  <si>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</si>
  <si>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</si>
  <si>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</si>
  <si>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</si>
  <si>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</si>
  <si>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</si>
  <si>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</si>
  <si>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</si>
  <si>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</si>
  <si>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</si>
  <si>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</si>
  <si>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</si>
  <si>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</si>
  <si>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</si>
  <si>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</si>
  <si>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</si>
  <si>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</si>
  <si>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</si>
  <si>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</si>
  <si>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</si>
  <si>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</si>
  <si>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</si>
  <si>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</si>
  <si>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</si>
  <si>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</si>
  <si>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</si>
  <si>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</si>
  <si>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</si>
  <si>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</si>
  <si>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</si>
  <si>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</si>
  <si>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</si>
  <si>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</si>
  <si>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</si>
  <si>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</si>
  <si>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</si>
  <si>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</si>
  <si>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</si>
  <si>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</si>
  <si>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</si>
  <si>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</si>
  <si>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</si>
  <si>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</si>
  <si>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</si>
  <si>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</si>
  <si>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</si>
  <si>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</si>
  <si>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</si>
  <si>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</si>
  <si>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</si>
  <si>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</si>
  <si>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</si>
  <si>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</si>
  <si>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</si>
  <si>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</si>
  <si>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</si>
  <si>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</si>
  <si>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</si>
  <si>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</si>
  <si>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</si>
  <si>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</si>
  <si>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</si>
  <si>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</si>
  <si>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</si>
  <si>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</si>
  <si>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</si>
  <si>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</si>
  <si>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</si>
  <si>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</si>
  <si>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</si>
  <si>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</si>
  <si>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</si>
  <si>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</si>
  <si>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</si>
  <si>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</si>
  <si>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</si>
  <si>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</si>
  <si>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</si>
  <si>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</si>
  <si>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</si>
  <si>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</si>
  <si>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</si>
  <si>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</si>
  <si>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</si>
  <si>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</si>
  <si>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</si>
  <si>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</si>
  <si>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</si>
  <si>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</si>
  <si>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</si>
  <si>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</si>
  <si>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</si>
  <si>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</si>
  <si>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</si>
  <si>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</si>
  <si>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</si>
  <si>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</si>
  <si>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</si>
  <si>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</si>
  <si>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</si>
  <si>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</si>
  <si>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</si>
  <si>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</si>
  <si>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</si>
  <si>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</si>
  <si>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</si>
  <si>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</si>
  <si>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</si>
  <si>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</si>
  <si>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</si>
  <si>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</si>
  <si>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</si>
  <si>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</si>
  <si>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</si>
  <si>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</si>
  <si>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</si>
  <si>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</si>
  <si>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</si>
  <si>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</si>
  <si>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</si>
  <si>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</si>
  <si>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</si>
  <si>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</si>
  <si>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</si>
  <si>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</si>
  <si>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</si>
  <si>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</si>
  <si>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</si>
  <si>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</si>
  <si>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</si>
  <si>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</si>
  <si>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</si>
  <si>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</si>
  <si>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</si>
  <si>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</si>
  <si>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</si>
  <si>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</si>
  <si>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</si>
  <si>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</si>
  <si>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</si>
  <si>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</si>
  <si>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</si>
  <si>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</si>
  <si>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</si>
  <si>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</si>
  <si>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</si>
  <si>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</si>
  <si>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</si>
  <si>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</si>
  <si>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</si>
  <si>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</si>
  <si>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</si>
  <si>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</si>
  <si>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</si>
  <si>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</si>
  <si>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</si>
  <si>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</si>
  <si>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</si>
  <si>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</si>
  <si>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</si>
  <si>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</si>
  <si>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</si>
  <si>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</si>
  <si>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</si>
  <si>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</si>
  <si>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</si>
  <si>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</si>
  <si>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</si>
  <si>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</si>
  <si>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</si>
  <si>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</si>
  <si>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</si>
  <si>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</si>
  <si>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</si>
  <si>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</si>
  <si>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</si>
  <si>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</si>
  <si>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</si>
  <si>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</si>
  <si>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</si>
  <si>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</si>
  <si>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</si>
  <si>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</si>
  <si>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</si>
  <si>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</si>
  <si>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</si>
  <si>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</si>
  <si>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</si>
  <si>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</si>
  <si>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</si>
  <si>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</si>
  <si>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</si>
  <si>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</si>
  <si>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</si>
  <si>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</si>
  <si>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</si>
  <si>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</si>
  <si>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</si>
  <si>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</si>
  <si>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</si>
  <si>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</si>
  <si>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</si>
  <si>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</si>
  <si>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</si>
  <si>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</si>
  <si>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</si>
  <si>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</si>
  <si>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</si>
  <si>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</si>
  <si>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</si>
  <si>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</si>
  <si>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</si>
  <si>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</si>
  <si>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</si>
  <si>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</si>
  <si>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</si>
  <si>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</si>
  <si>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</si>
  <si>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</si>
  <si>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</si>
  <si>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</si>
  <si>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</si>
  <si>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</si>
  <si>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</si>
  <si>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</si>
  <si>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</si>
  <si>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</si>
  <si>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</si>
  <si>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</si>
  <si>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</si>
  <si>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</si>
  <si>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</si>
  <si>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</si>
  <si>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</si>
  <si>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</si>
  <si>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</si>
  <si>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</si>
  <si>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</si>
  <si>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</si>
  <si>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</si>
  <si>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</si>
  <si>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</si>
  <si>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</si>
  <si>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</si>
  <si>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</si>
  <si>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</si>
  <si>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</si>
  <si>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</si>
  <si>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</si>
  <si>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</si>
  <si>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</si>
  <si>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</si>
  <si>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</si>
  <si>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</si>
  <si>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</si>
  <si>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</si>
  <si>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</si>
  <si>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</si>
  <si>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</si>
  <si>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</si>
  <si>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</si>
  <si>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</si>
  <si>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</si>
  <si>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</si>
  <si>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</si>
  <si>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</si>
  <si>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</si>
  <si>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</si>
  <si>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</si>
  <si>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</si>
  <si>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</si>
  <si>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</si>
  <si>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</si>
  <si>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</si>
  <si>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</si>
  <si>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</si>
  <si>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</si>
  <si>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</si>
  <si>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</si>
  <si>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</si>
  <si>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</si>
  <si>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</si>
  <si>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</si>
  <si>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</si>
  <si>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</si>
  <si>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</si>
  <si>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</si>
  <si>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</si>
  <si>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</si>
  <si>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</si>
  <si>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</si>
  <si>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</si>
  <si>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</si>
  <si>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</si>
  <si>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</si>
  <si>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</si>
  <si>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</si>
  <si>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</si>
  <si>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</si>
  <si>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</si>
  <si>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</si>
  <si>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</si>
  <si>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</si>
  <si>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</si>
  <si>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</si>
  <si>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</si>
  <si>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</si>
  <si>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</si>
  <si>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</si>
  <si>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</si>
  <si>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</si>
  <si>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</si>
  <si>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</si>
  <si>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</si>
  <si>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</si>
  <si>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</si>
  <si>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</si>
  <si>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</si>
  <si>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</si>
  <si>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</si>
  <si>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</si>
  <si>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</si>
  <si>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</si>
  <si>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</si>
  <si>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</si>
  <si>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</si>
  <si>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</si>
  <si>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</si>
  <si>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</si>
  <si>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</si>
  <si>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</si>
  <si>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</si>
  <si>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</si>
  <si>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</si>
  <si>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</si>
  <si>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</si>
  <si>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</si>
  <si>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</si>
  <si>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</si>
  <si>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</si>
  <si>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</si>
  <si>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</si>
  <si>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</si>
  <si>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</si>
  <si>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</si>
  <si>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</si>
  <si>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</si>
  <si>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</si>
  <si>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</si>
  <si>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</si>
  <si>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</si>
  <si>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</si>
  <si>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</si>
  <si>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</si>
  <si>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</si>
  <si>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</si>
  <si>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</si>
  <si>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</si>
  <si>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</si>
  <si>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</si>
  <si>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</si>
  <si>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</si>
  <si>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</si>
  <si>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</si>
  <si>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</si>
  <si>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</si>
  <si>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</si>
  <si>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</si>
  <si>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</si>
  <si>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</si>
  <si>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</si>
  <si>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</si>
  <si>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</si>
  <si>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</si>
  <si>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</si>
  <si>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</si>
  <si>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</si>
  <si>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</si>
  <si>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</si>
  <si>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</si>
  <si>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</si>
  <si>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</si>
  <si>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</si>
  <si>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</si>
  <si>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</si>
  <si>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</si>
  <si>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</si>
  <si>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</si>
  <si>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</si>
  <si>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</si>
  <si>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</si>
  <si>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</si>
  <si>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</si>
  <si>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</si>
  <si>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</si>
  <si>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</si>
  <si>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</si>
  <si>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</si>
  <si>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</si>
  <si>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</si>
  <si>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</si>
  <si>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</si>
  <si>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</si>
  <si>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</si>
  <si>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</si>
  <si>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</si>
  <si>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</si>
  <si>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</si>
  <si>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</si>
  <si>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</si>
  <si>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</si>
  <si>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</si>
  <si>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</si>
  <si>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</si>
  <si>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</si>
  <si>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</si>
  <si>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</si>
  <si>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</si>
  <si>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</si>
  <si>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</si>
  <si>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</si>
  <si>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</si>
  <si>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</si>
  <si>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</si>
  <si>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</si>
  <si>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</si>
  <si>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</si>
  <si>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</si>
  <si>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</si>
  <si>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</si>
  <si>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</si>
  <si>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</si>
  <si>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</si>
  <si>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</si>
  <si>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</si>
  <si>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</si>
  <si>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</si>
  <si>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</si>
  <si>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</si>
  <si>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</si>
  <si>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</si>
  <si>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</si>
  <si>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</si>
  <si>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</si>
  <si>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</si>
  <si>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</si>
  <si>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</si>
  <si>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</si>
  <si>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</si>
  <si>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</si>
  <si>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</si>
  <si>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</si>
  <si>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</si>
  <si>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</si>
  <si>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</si>
  <si>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</si>
  <si>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</si>
  <si>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</si>
  <si>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</si>
  <si>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</si>
  <si>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</si>
  <si>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</si>
  <si>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</si>
  <si>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</si>
  <si>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</si>
  <si>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</si>
  <si>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</si>
  <si>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</si>
  <si>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</si>
  <si>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</si>
  <si>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</si>
  <si>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</si>
  <si>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</si>
  <si>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</si>
  <si>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</si>
  <si>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</si>
  <si>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</si>
  <si>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</si>
  <si>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</si>
  <si>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</si>
  <si>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</si>
  <si>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</si>
  <si>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</si>
  <si>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</si>
  <si>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</si>
  <si>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</si>
  <si>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</si>
  <si>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</si>
  <si>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</si>
  <si>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</si>
  <si>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</si>
  <si>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</si>
  <si>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</si>
  <si>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</si>
  <si>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</si>
  <si>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</si>
  <si>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</si>
  <si>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</si>
  <si>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</si>
  <si>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</si>
  <si>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</si>
  <si>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</si>
  <si>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</si>
  <si>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</si>
  <si>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</si>
  <si>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</si>
  <si>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</si>
  <si>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</si>
  <si>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</si>
  <si>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</si>
  <si>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</si>
  <si>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</si>
  <si>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</si>
  <si>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</si>
  <si>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</si>
  <si>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</si>
  <si>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</si>
  <si>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</si>
  <si>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</si>
  <si>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</si>
  <si>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</si>
  <si>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</si>
  <si>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</si>
  <si>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</si>
  <si>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</si>
  <si>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</si>
  <si>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</si>
  <si>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</si>
  <si>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</si>
  <si>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</si>
  <si>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</si>
  <si>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</si>
  <si>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</si>
  <si>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</si>
  <si>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</si>
  <si>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</si>
  <si>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</si>
  <si>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</si>
  <si>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</si>
  <si>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</si>
  <si>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</si>
  <si>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</si>
  <si>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</si>
  <si>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</si>
  <si>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</si>
  <si>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</si>
  <si>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</si>
  <si>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</si>
  <si>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</si>
  <si>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</si>
  <si>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</si>
  <si>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</si>
  <si>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</si>
  <si>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</si>
  <si>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</si>
  <si>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</si>
  <si>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</si>
  <si>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</si>
  <si>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</si>
  <si>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</si>
  <si>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</si>
  <si>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</si>
  <si>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</si>
  <si>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</si>
  <si>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</si>
  <si>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</si>
  <si>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</si>
  <si>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</si>
  <si>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</si>
  <si>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</si>
  <si>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</si>
  <si>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</si>
  <si>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</si>
  <si>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</si>
  <si>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</si>
  <si>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</si>
  <si>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</si>
  <si>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</si>
  <si>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</si>
  <si>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</si>
  <si>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</si>
  <si>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</si>
  <si>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</si>
  <si>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</si>
  <si>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</si>
  <si>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</si>
  <si>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</si>
  <si>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</si>
  <si>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</si>
  <si>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</si>
  <si>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</si>
  <si>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</si>
  <si>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</si>
  <si>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</si>
  <si>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</si>
  <si>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</si>
  <si>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</si>
  <si>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</si>
  <si>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</si>
  <si>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</si>
  <si>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</si>
  <si>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</si>
  <si>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</si>
  <si>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</si>
  <si>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</si>
  <si>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</si>
  <si>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</si>
  <si>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</si>
  <si>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</si>
  <si>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</si>
  <si>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</si>
  <si>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</si>
  <si>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</si>
  <si>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</si>
  <si>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</si>
  <si>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</si>
  <si>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</si>
  <si>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</si>
  <si>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</si>
  <si>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</si>
  <si>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</si>
  <si>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</si>
  <si>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</si>
  <si>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</si>
  <si>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</si>
  <si>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</si>
  <si>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</si>
  <si>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</si>
  <si>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</si>
  <si>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</si>
  <si>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</si>
  <si>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</si>
  <si>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</si>
  <si>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</si>
  <si>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</si>
  <si>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</si>
  <si>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</si>
  <si>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</si>
  <si>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</si>
  <si>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</si>
  <si>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</si>
  <si>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</si>
  <si>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</si>
  <si>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</si>
  <si>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</si>
  <si>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</si>
  <si>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</si>
  <si>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</si>
  <si>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</si>
  <si>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</si>
  <si>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</si>
  <si>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</si>
  <si>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</si>
  <si>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</si>
  <si>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</si>
  <si>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</si>
  <si>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</si>
  <si>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</si>
  <si>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</si>
  <si>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</si>
  <si>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</si>
  <si>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</si>
  <si>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</si>
  <si>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</si>
  <si>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</si>
  <si>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</si>
  <si>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</si>
  <si>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</si>
  <si>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</si>
  <si>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</si>
  <si>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</si>
  <si>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</si>
  <si>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</si>
  <si>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</si>
  <si>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</si>
  <si>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</si>
  <si>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</si>
  <si>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</si>
  <si>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</si>
  <si>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</si>
  <si>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</si>
  <si>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</si>
  <si>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</si>
  <si>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</si>
  <si>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</si>
  <si>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</si>
  <si>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</si>
  <si>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</si>
  <si>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</si>
  <si>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</si>
  <si>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</si>
  <si>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</si>
  <si>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</si>
  <si>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</si>
  <si>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</si>
  <si>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</si>
  <si>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</si>
  <si>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</si>
  <si>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</si>
  <si>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</si>
  <si>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</si>
  <si>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</si>
  <si>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</si>
  <si>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</si>
  <si>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</si>
  <si>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</si>
  <si>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</si>
  <si>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</si>
  <si>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</si>
  <si>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</si>
  <si>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</si>
  <si>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</si>
  <si>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</si>
  <si>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</si>
  <si>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</si>
  <si>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</si>
  <si>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</si>
  <si>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</si>
  <si>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</si>
  <si>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</si>
  <si>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</si>
  <si>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</si>
  <si>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</si>
  <si>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</si>
  <si>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</si>
  <si>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</si>
  <si>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</si>
  <si>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</si>
  <si>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</si>
  <si>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</si>
  <si>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</si>
  <si>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</si>
  <si>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</si>
  <si>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</si>
  <si>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</si>
  <si>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</si>
  <si>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</si>
  <si>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</si>
  <si>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</si>
  <si>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</si>
  <si>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</si>
  <si>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</si>
  <si>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</si>
  <si>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</si>
  <si>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</si>
  <si>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</si>
  <si>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</si>
  <si>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</si>
  <si>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</si>
  <si>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</si>
  <si>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</si>
  <si>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</si>
  <si>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</si>
  <si>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</si>
  <si>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</si>
  <si>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</si>
  <si>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</si>
  <si>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</si>
  <si>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</si>
  <si>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</si>
  <si>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</si>
  <si>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</si>
  <si>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</si>
  <si>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</si>
  <si>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</si>
  <si>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</si>
  <si>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</si>
  <si>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</si>
  <si>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</si>
  <si>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</si>
  <si>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</si>
  <si>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</si>
  <si>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</si>
  <si>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</si>
  <si>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</si>
  <si>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</si>
  <si>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</si>
  <si>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</si>
  <si>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</si>
  <si>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</si>
  <si>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</si>
  <si>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</si>
  <si>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</si>
  <si>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</si>
  <si>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</si>
  <si>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</si>
  <si>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</si>
  <si>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</si>
  <si>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</si>
  <si>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</si>
  <si>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</si>
  <si>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</si>
  <si>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</si>
  <si>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</si>
  <si>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</si>
  <si>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</si>
  <si>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</si>
  <si>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</si>
  <si>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</si>
  <si>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</si>
  <si>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</si>
  <si>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</si>
  <si>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</si>
  <si>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</si>
  <si>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</si>
  <si>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</si>
  <si>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</si>
  <si>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</si>
  <si>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</si>
  <si>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</si>
  <si>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</si>
  <si>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</si>
  <si>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</si>
  <si>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</si>
  <si>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</si>
  <si>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</si>
  <si>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</si>
  <si>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</si>
  <si>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</si>
  <si>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</si>
  <si>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</si>
  <si>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</si>
  <si>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</si>
  <si>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</si>
  <si>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</si>
  <si>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</si>
  <si>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</si>
  <si>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</si>
  <si>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</si>
  <si>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</si>
  <si>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</si>
  <si>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</si>
  <si>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</si>
  <si>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</si>
  <si>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</si>
  <si>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</si>
  <si>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</si>
  <si>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</si>
  <si>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</si>
  <si>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</si>
  <si>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</si>
  <si>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</si>
  <si>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</si>
  <si>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</si>
  <si>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</si>
  <si>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</si>
  <si>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</si>
  <si>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</si>
  <si>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</si>
  <si>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</si>
  <si>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</si>
  <si>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</si>
  <si>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</si>
  <si>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</si>
  <si>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</si>
  <si>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</si>
  <si>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</si>
  <si>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</si>
  <si>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</si>
  <si>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</si>
  <si>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</si>
  <si>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</si>
  <si>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</si>
  <si>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</si>
  <si>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</si>
  <si>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</si>
  <si>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</si>
  <si>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</si>
  <si>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</si>
  <si>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</si>
  <si>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</si>
  <si>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</si>
  <si>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</si>
  <si>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</si>
  <si>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</si>
  <si>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</si>
  <si>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</si>
  <si>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</si>
  <si>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</si>
  <si>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</si>
  <si>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</si>
  <si>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</si>
  <si>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</si>
  <si>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</si>
  <si>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</si>
  <si>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</si>
  <si>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</si>
  <si>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</si>
  <si>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</si>
  <si>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</si>
  <si>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</si>
  <si>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</si>
  <si>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</si>
  <si>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</si>
  <si>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</si>
  <si>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</si>
  <si>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</si>
  <si>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</si>
  <si>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</si>
  <si>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</si>
  <si>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</si>
  <si>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</si>
  <si>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</si>
  <si>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</si>
  <si>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</si>
  <si>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</si>
  <si>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</si>
  <si>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</si>
  <si>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</si>
  <si>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</si>
  <si>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</si>
  <si>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</si>
  <si>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</si>
  <si>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</si>
  <si>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</si>
  <si>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</si>
  <si>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</si>
  <si>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</si>
  <si>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</si>
  <si>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</si>
  <si>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</si>
  <si>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</si>
  <si>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</si>
  <si>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</si>
  <si>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</si>
  <si>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</si>
  <si>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</si>
  <si>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</si>
  <si>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</si>
  <si>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</si>
  <si>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</si>
  <si>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</si>
  <si>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</si>
  <si>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</si>
  <si>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</si>
  <si>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</si>
  <si>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</si>
  <si>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</si>
  <si>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</si>
  <si>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</si>
  <si>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</si>
  <si>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</si>
  <si>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</si>
  <si>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</si>
  <si>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</si>
  <si>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</si>
  <si>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</si>
  <si>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</si>
  <si>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</si>
  <si>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</si>
  <si>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</si>
  <si>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</si>
  <si>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</si>
  <si>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</si>
  <si>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</si>
  <si>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</si>
  <si>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</si>
  <si>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</si>
  <si>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</si>
  <si>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</si>
  <si>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</si>
  <si>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</si>
  <si>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</si>
  <si>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</si>
  <si>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</si>
  <si>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</si>
  <si>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</si>
  <si>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</si>
  <si>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</si>
  <si>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</si>
  <si>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</si>
  <si>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</si>
  <si>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</si>
  <si>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</si>
  <si>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</si>
  <si>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</si>
  <si>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</si>
  <si>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</si>
  <si>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</si>
  <si>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</si>
  <si>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</si>
  <si>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</si>
  <si>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</si>
  <si>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</si>
  <si>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</si>
  <si>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</si>
  <si>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</si>
  <si>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</si>
  <si>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</si>
  <si>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</si>
  <si>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</si>
  <si>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</si>
  <si>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</si>
  <si>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</si>
  <si>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</si>
  <si>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</si>
  <si>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</si>
  <si>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</si>
  <si>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</si>
  <si>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</si>
  <si>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</si>
  <si>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</si>
  <si>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</si>
  <si>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</si>
  <si>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</si>
  <si>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</si>
  <si>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</si>
  <si>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</si>
  <si>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</si>
  <si>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</si>
  <si>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</si>
  <si>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</si>
  <si>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</si>
  <si>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</si>
  <si>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</si>
  <si>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</si>
  <si>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</si>
  <si>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</si>
  <si>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</si>
  <si>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</si>
  <si>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</si>
  <si>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</si>
  <si>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</si>
  <si>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</si>
  <si>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</si>
  <si>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</si>
  <si>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</si>
  <si>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</si>
  <si>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</si>
  <si>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</si>
  <si>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</si>
  <si>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</si>
  <si>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</si>
  <si>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</si>
  <si>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</si>
  <si>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</si>
  <si>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</si>
  <si>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</si>
  <si>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</si>
  <si>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</si>
  <si>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</si>
  <si>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</si>
  <si>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</si>
  <si>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</si>
  <si>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</si>
  <si>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</si>
  <si>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</si>
  <si>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</si>
  <si>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</si>
  <si>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</si>
  <si>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</si>
  <si>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</si>
  <si>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</si>
  <si>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</si>
  <si>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</si>
  <si>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</si>
  <si>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</si>
  <si>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</si>
  <si>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</si>
  <si>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</si>
  <si>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</si>
  <si>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</si>
  <si>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</si>
  <si>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</si>
  <si>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</si>
  <si>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</si>
  <si>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</si>
  <si>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</si>
  <si>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</si>
  <si>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</si>
  <si>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</si>
  <si>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</si>
  <si>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</si>
  <si>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</si>
  <si>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</si>
  <si>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</si>
  <si>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</si>
  <si>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</si>
  <si>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</si>
  <si>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</si>
  <si>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</si>
  <si>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</si>
  <si>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</si>
  <si>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</si>
  <si>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</si>
  <si>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</si>
  <si>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</si>
  <si>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</si>
  <si>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</si>
  <si>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</si>
  <si>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</si>
  <si>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</si>
  <si>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</si>
  <si>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</si>
  <si>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</si>
  <si>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</si>
  <si>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</si>
  <si>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</si>
  <si>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</si>
  <si>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</si>
  <si>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</si>
  <si>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</si>
  <si>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</si>
  <si>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</si>
  <si>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</si>
  <si>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</si>
  <si>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</si>
  <si>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</si>
  <si>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</si>
  <si>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</si>
  <si>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</si>
  <si>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</si>
  <si>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</si>
  <si>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</si>
  <si>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</si>
  <si>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</si>
  <si>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</si>
  <si>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</si>
  <si>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</si>
  <si>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</si>
  <si>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</si>
  <si>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</si>
  <si>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</si>
  <si>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</si>
  <si>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</si>
  <si>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</si>
  <si>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</si>
  <si>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</si>
  <si>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</si>
  <si>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</si>
  <si>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</si>
  <si>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</si>
  <si>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</si>
  <si>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</si>
  <si>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</si>
  <si>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</si>
  <si>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</si>
  <si>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</si>
  <si>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</si>
  <si>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</si>
  <si>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</si>
  <si>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</si>
  <si>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</si>
  <si>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</si>
  <si>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</si>
  <si>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</si>
  <si>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</si>
  <si>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</si>
  <si>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</si>
  <si>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</si>
  <si>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</si>
  <si>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</si>
  <si>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</si>
  <si>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</si>
  <si>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</si>
  <si>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</si>
  <si>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</si>
  <si>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</si>
  <si>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</si>
  <si>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</si>
  <si>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</si>
  <si>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</si>
  <si>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</si>
  <si>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</si>
  <si>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</si>
  <si>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</si>
  <si>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</si>
  <si>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</si>
  <si>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</si>
  <si>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</si>
  <si>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</si>
  <si>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</si>
  <si>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</si>
  <si>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</si>
  <si>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</si>
  <si>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</si>
  <si>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</si>
  <si>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</si>
  <si>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</si>
  <si>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</si>
  <si>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</si>
  <si>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</si>
  <si>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</si>
  <si>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</si>
  <si>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</si>
  <si>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</si>
  <si>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</si>
  <si>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</si>
  <si>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</si>
  <si>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</si>
  <si>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</si>
  <si>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</si>
  <si>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</si>
  <si>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</si>
  <si>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</si>
  <si>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</si>
  <si>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</si>
  <si>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</si>
  <si>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</si>
  <si>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</si>
  <si>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</si>
  <si>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</si>
  <si>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</si>
  <si>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</si>
  <si>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</si>
  <si>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</si>
  <si>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</si>
  <si>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</si>
  <si>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</si>
  <si>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</si>
  <si>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</si>
  <si>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</si>
  <si>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</si>
  <si>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</si>
  <si>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</si>
  <si>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</si>
  <si>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</si>
  <si>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</si>
  <si>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</si>
  <si>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</si>
  <si>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</si>
  <si>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</si>
  <si>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</si>
  <si>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</si>
  <si>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</si>
  <si>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</si>
  <si>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</si>
  <si>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</si>
  <si>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</si>
  <si>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</si>
  <si>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</si>
  <si>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</si>
  <si>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</si>
  <si>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</si>
  <si>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</si>
  <si>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</si>
  <si>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</si>
  <si>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</si>
  <si>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</si>
  <si>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</si>
  <si>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</si>
  <si>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</si>
  <si>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</si>
  <si>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</si>
  <si>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</si>
  <si>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</si>
  <si>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</si>
  <si>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</si>
  <si>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</si>
  <si>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</si>
  <si>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</si>
  <si>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</si>
  <si>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</si>
  <si>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</si>
  <si>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</si>
  <si>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</si>
  <si>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</si>
  <si>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</si>
  <si>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</si>
  <si>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</si>
  <si>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</si>
  <si>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</si>
  <si>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</si>
  <si>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</si>
  <si>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</si>
  <si>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</si>
  <si>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</si>
  <si>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</si>
  <si>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</si>
  <si>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</si>
  <si>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</si>
  <si>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</si>
  <si>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</si>
  <si>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</si>
  <si>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</si>
  <si>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</si>
  <si>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</si>
  <si>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</si>
  <si>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</si>
  <si>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</si>
  <si>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</si>
  <si>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</si>
  <si>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</si>
  <si>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</si>
  <si>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</si>
  <si>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</si>
  <si>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</si>
  <si>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</si>
  <si>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</si>
  <si>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</si>
  <si>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</si>
  <si>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</si>
  <si>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</si>
  <si>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</si>
  <si>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</si>
  <si>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</si>
  <si>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</si>
  <si>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</si>
  <si>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</si>
  <si>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</si>
  <si>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</si>
  <si>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</si>
  <si>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</si>
  <si>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</si>
  <si>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</si>
  <si>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</si>
  <si>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</si>
  <si>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</si>
  <si>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</si>
  <si>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</si>
  <si>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</si>
  <si>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</si>
  <si>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</si>
  <si>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</si>
  <si>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</si>
  <si>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</si>
  <si>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</si>
  <si>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</si>
  <si>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</si>
  <si>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</si>
  <si>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</si>
  <si>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</si>
  <si>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</si>
  <si>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</si>
  <si>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</si>
  <si>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</si>
  <si>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</si>
  <si>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</si>
  <si>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</si>
  <si>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</si>
  <si>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</si>
  <si>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</si>
  <si>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</si>
  <si>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</si>
  <si>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</si>
  <si>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</si>
  <si>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</si>
  <si>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</si>
  <si>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</si>
  <si>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</si>
  <si>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</si>
  <si>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</si>
  <si>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</si>
  <si>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</si>
  <si>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</si>
  <si>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</si>
  <si>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</si>
  <si>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</si>
  <si>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</si>
  <si>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</si>
  <si>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</si>
  <si>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</si>
  <si>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</si>
  <si>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</si>
  <si>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</si>
  <si>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</si>
  <si>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</si>
  <si>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</si>
  <si>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</si>
  <si>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</si>
  <si>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</si>
  <si>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</si>
  <si>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</si>
  <si>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</si>
  <si>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</si>
  <si>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</si>
  <si>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</si>
  <si>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</si>
  <si>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</si>
  <si>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</si>
  <si>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</si>
  <si>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</si>
  <si>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</si>
  <si>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</si>
  <si>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</si>
  <si>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</si>
  <si>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</si>
  <si>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</si>
  <si>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</si>
  <si>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</si>
  <si>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</si>
  <si>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</si>
  <si>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</si>
  <si>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</si>
  <si>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</si>
  <si>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</si>
  <si>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</si>
  <si>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</si>
  <si>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</si>
  <si>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</si>
  <si>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</si>
  <si>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</si>
  <si>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</si>
  <si>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</si>
  <si>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</si>
  <si>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</si>
  <si>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</si>
  <si>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</si>
  <si>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</si>
  <si>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</si>
  <si>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</si>
  <si>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</si>
  <si>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</si>
  <si>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</si>
  <si>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</si>
  <si>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</si>
  <si>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</si>
  <si>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</si>
  <si>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</si>
  <si>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</si>
  <si>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</si>
  <si>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</si>
  <si>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</si>
  <si>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</si>
  <si>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</si>
  <si>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</si>
  <si>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</si>
  <si>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</si>
  <si>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</si>
  <si>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</si>
  <si>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</si>
  <si>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</si>
  <si>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</si>
  <si>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</si>
  <si>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</si>
  <si>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</si>
  <si>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</si>
  <si>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</si>
  <si>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</si>
  <si>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</si>
  <si>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</si>
  <si>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</si>
  <si>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</si>
  <si>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</si>
  <si>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</si>
  <si>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</si>
  <si>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</si>
  <si>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</si>
  <si>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</si>
  <si>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</si>
  <si>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</si>
  <si>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</si>
  <si>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</si>
  <si>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</si>
  <si>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</si>
  <si>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</si>
  <si>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</si>
  <si>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</si>
  <si>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</si>
  <si>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</si>
  <si>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</si>
  <si>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</si>
  <si>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</si>
  <si>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</si>
  <si>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</si>
  <si>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</si>
  <si>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</si>
  <si>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</si>
  <si>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</si>
  <si>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</si>
  <si>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</si>
  <si>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</si>
  <si>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</si>
  <si>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</si>
  <si>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</si>
  <si>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</si>
  <si>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</si>
  <si>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</si>
  <si>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</si>
  <si>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</si>
  <si>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</si>
  <si>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</si>
  <si>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</si>
  <si>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</si>
  <si>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</si>
  <si>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</si>
  <si>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</si>
  <si>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</si>
  <si>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</si>
  <si>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</si>
  <si>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</si>
  <si>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</si>
  <si>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</si>
  <si>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</si>
  <si>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</si>
  <si>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</si>
  <si>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</si>
  <si>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</si>
  <si>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</si>
  <si>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</si>
  <si>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</si>
  <si>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</si>
  <si>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</si>
  <si>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</si>
  <si>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</si>
  <si>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</si>
  <si>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</si>
  <si>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</si>
  <si>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</si>
  <si>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</si>
  <si>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</si>
  <si>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</si>
  <si>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</si>
  <si>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</si>
  <si>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</si>
  <si>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</si>
  <si>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</si>
  <si>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</si>
  <si>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</si>
  <si>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</si>
  <si>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</si>
  <si>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</si>
  <si>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</si>
  <si>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</si>
  <si>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</si>
  <si>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</si>
  <si>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</si>
  <si>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</si>
  <si>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</si>
  <si>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</si>
  <si>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</si>
  <si>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</si>
  <si>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</si>
  <si>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</si>
  <si>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</si>
  <si>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</si>
  <si>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</si>
  <si>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</si>
  <si>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</si>
  <si>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</si>
  <si>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</si>
  <si>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</si>
  <si>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</si>
  <si>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</si>
  <si>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</si>
  <si>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</si>
  <si>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</si>
  <si>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</si>
  <si>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</si>
  <si>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</si>
  <si>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</si>
  <si>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</si>
  <si>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</si>
  <si>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</si>
  <si>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</si>
  <si>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</si>
  <si>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</si>
  <si>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</si>
  <si>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</si>
  <si>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</si>
  <si>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</si>
  <si>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</si>
  <si>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</si>
  <si>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</si>
  <si>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</si>
  <si>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</si>
  <si>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</si>
  <si>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</si>
  <si>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</si>
  <si>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</si>
  <si>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</si>
  <si>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</si>
  <si>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</si>
  <si>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</si>
  <si>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</si>
  <si>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</si>
  <si>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</si>
  <si>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</si>
  <si>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</si>
  <si>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</si>
  <si>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</si>
  <si>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</si>
  <si>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</si>
  <si>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</si>
  <si>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</si>
  <si>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</si>
  <si>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</si>
  <si>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</si>
  <si>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</si>
  <si>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</si>
  <si>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</si>
  <si>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</si>
  <si>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</si>
  <si>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</si>
  <si>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</si>
  <si>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</si>
  <si>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</si>
  <si>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</si>
  <si>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</si>
  <si>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</si>
  <si>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</si>
  <si>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</si>
  <si>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</si>
  <si>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</si>
  <si>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</si>
  <si>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</si>
  <si>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</si>
  <si>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</si>
  <si>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</si>
  <si>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</si>
  <si>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</si>
  <si>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</si>
  <si>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</si>
  <si>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</si>
  <si>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</si>
  <si>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</si>
  <si>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</si>
  <si>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</si>
  <si>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</si>
  <si>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</si>
  <si>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</si>
  <si>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</si>
  <si>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</si>
  <si>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</si>
  <si>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</si>
  <si>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</si>
  <si>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</si>
  <si>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</si>
  <si>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</si>
  <si>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</si>
  <si>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</si>
  <si>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</si>
  <si>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</si>
  <si>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</si>
  <si>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</si>
  <si>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</si>
  <si>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</si>
  <si>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</si>
  <si>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</si>
  <si>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</si>
  <si>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</si>
  <si>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</si>
  <si>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</si>
  <si>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</si>
  <si>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</si>
  <si>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</si>
  <si>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</si>
  <si>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</si>
  <si>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</si>
  <si>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</si>
  <si>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</si>
  <si>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</si>
  <si>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</si>
  <si>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</si>
  <si>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</si>
  <si>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</si>
  <si>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</si>
  <si>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</si>
  <si>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</si>
  <si>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</si>
  <si>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</si>
  <si>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</si>
  <si>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</si>
  <si>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</si>
  <si>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</si>
  <si>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</si>
  <si>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</si>
  <si>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</si>
  <si>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</si>
  <si>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</si>
  <si>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</si>
  <si>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</si>
  <si>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</si>
  <si>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</si>
  <si>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</si>
  <si>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</si>
  <si>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</si>
  <si>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</si>
  <si>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</si>
  <si>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</si>
  <si>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</si>
  <si>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</si>
  <si>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</si>
  <si>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</si>
  <si>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</si>
  <si>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</si>
  <si>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</si>
  <si>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</si>
  <si>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</si>
  <si>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</si>
  <si>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</si>
  <si>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</si>
  <si>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</si>
  <si>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</si>
  <si>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</si>
  <si>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</si>
  <si>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</si>
  <si>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</si>
  <si>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</si>
  <si>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</si>
  <si>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</si>
  <si>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</si>
  <si>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</si>
  <si>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</si>
  <si>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</si>
  <si>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</si>
  <si>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</si>
  <si>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</si>
  <si>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</si>
  <si>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</si>
  <si>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</si>
  <si>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</si>
  <si>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</si>
  <si>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</si>
  <si>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</si>
  <si>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</si>
  <si>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</si>
  <si>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</si>
  <si>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</si>
  <si>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</si>
  <si>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</si>
  <si>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</si>
  <si>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</si>
  <si>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</si>
  <si>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</si>
  <si>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</si>
  <si>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</si>
  <si>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</si>
  <si>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</si>
  <si>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</si>
  <si>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</si>
  <si>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</si>
  <si>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</si>
  <si>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</si>
  <si>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</si>
  <si>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</si>
  <si>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</si>
  <si>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</si>
  <si>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</si>
  <si>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</si>
  <si>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</si>
  <si>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</si>
  <si>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</si>
  <si>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</si>
  <si>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</si>
  <si>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</si>
  <si>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</si>
  <si>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</si>
  <si>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</si>
  <si>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</si>
  <si>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</si>
  <si>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</si>
  <si>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</si>
  <si>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</si>
  <si>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</si>
  <si>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</si>
  <si>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</si>
  <si>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</si>
  <si>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</si>
  <si>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</si>
  <si>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</si>
  <si>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</si>
  <si>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</si>
  <si>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</si>
  <si>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</si>
  <si>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</si>
  <si>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</si>
  <si>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</si>
  <si>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</si>
  <si>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</si>
  <si>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</si>
  <si>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</si>
  <si>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</si>
  <si>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</si>
  <si>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</si>
  <si>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</si>
  <si>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</si>
  <si>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</si>
  <si>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</si>
  <si>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</si>
  <si>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</si>
  <si>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</si>
  <si>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</si>
  <si>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</si>
  <si>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</si>
  <si>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</si>
  <si>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</si>
  <si>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</si>
  <si>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</si>
  <si>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</si>
  <si>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</si>
  <si>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</si>
  <si>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</si>
  <si>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</si>
  <si>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</si>
  <si>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</si>
  <si>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</si>
  <si>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</si>
  <si>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</si>
  <si>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</si>
  <si>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</si>
  <si>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</si>
  <si>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</si>
  <si>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</si>
  <si>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</si>
  <si>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</si>
  <si>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</si>
  <si>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</si>
  <si>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</si>
  <si>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</si>
  <si>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</si>
  <si>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</si>
  <si>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</si>
  <si>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</si>
  <si>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</si>
  <si>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</si>
  <si>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</si>
  <si>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</si>
  <si>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</si>
  <si>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</si>
  <si>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</si>
  <si>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</si>
  <si>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</si>
  <si>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</si>
  <si>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</si>
  <si>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</si>
  <si>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</si>
  <si>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</si>
  <si>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</si>
  <si>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</si>
  <si>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</si>
  <si>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</si>
  <si>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</si>
  <si>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</si>
  <si>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</si>
  <si>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</si>
  <si>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</si>
  <si>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</si>
  <si>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</si>
  <si>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</si>
  <si>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</si>
  <si>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</si>
  <si>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</si>
  <si>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</si>
  <si>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</si>
  <si>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</si>
  <si>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</si>
  <si>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</si>
  <si>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</si>
  <si>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</si>
  <si>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</si>
  <si>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</si>
  <si>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</si>
  <si>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</si>
  <si>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</si>
  <si>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</si>
  <si>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</si>
  <si>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</si>
  <si>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</si>
  <si>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</si>
  <si>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</si>
  <si>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</si>
  <si>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</si>
  <si>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</si>
  <si>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</si>
  <si>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</si>
  <si>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</si>
  <si>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</si>
  <si>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</si>
  <si>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</si>
  <si>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</si>
  <si>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</si>
  <si>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</si>
  <si>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</si>
  <si>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</si>
  <si>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</si>
  <si>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</si>
  <si>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</si>
  <si>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</si>
  <si>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</si>
  <si>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</si>
  <si>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</si>
  <si>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</si>
  <si>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</si>
  <si>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</si>
  <si>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</si>
  <si>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</si>
  <si>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</si>
  <si>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</si>
  <si>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</si>
  <si>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</si>
  <si>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</si>
  <si>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</si>
  <si>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</si>
  <si>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</si>
  <si>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</si>
  <si>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</si>
  <si>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</si>
  <si>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</si>
  <si>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</si>
  <si>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</si>
  <si>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</si>
  <si>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</si>
  <si>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</si>
  <si>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</si>
  <si>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</si>
  <si>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</si>
  <si>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</si>
  <si>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</si>
  <si>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</si>
  <si>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</si>
  <si>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</si>
  <si>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</si>
  <si>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</si>
  <si>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</si>
  <si>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</si>
  <si>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</si>
  <si>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</si>
  <si>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</si>
  <si>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</si>
  <si>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</si>
  <si>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</si>
  <si>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</si>
  <si>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</si>
  <si>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</si>
  <si>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</si>
  <si>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</si>
  <si>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</si>
  <si>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</si>
  <si>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</si>
  <si>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</si>
  <si>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</si>
  <si>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</si>
  <si>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</si>
  <si>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</si>
  <si>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</si>
  <si>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</si>
  <si>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</si>
  <si>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</si>
  <si>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</si>
  <si>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</si>
  <si>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</si>
  <si>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</si>
  <si>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</si>
  <si>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</si>
  <si>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</si>
  <si>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</si>
  <si>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</si>
  <si>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</si>
  <si>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</si>
  <si>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</si>
  <si>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</si>
  <si>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</si>
  <si>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</si>
  <si>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</si>
  <si>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</si>
  <si>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</si>
  <si>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</si>
  <si>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</si>
  <si>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</si>
  <si>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</si>
  <si>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</si>
  <si>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</si>
  <si>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</si>
  <si>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</si>
  <si>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</si>
  <si>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</si>
  <si>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</si>
  <si>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</si>
  <si>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</si>
  <si>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</si>
  <si>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</si>
  <si>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</si>
  <si>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</si>
  <si>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</si>
  <si>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</si>
  <si>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</si>
  <si>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</si>
  <si>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</si>
  <si>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</si>
  <si>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</si>
  <si>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</si>
  <si>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</si>
  <si>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</si>
  <si>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</si>
  <si>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</si>
  <si>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</si>
  <si>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</si>
  <si>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</si>
  <si>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</si>
  <si>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</si>
  <si>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</si>
  <si>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</si>
  <si>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</si>
  <si>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</si>
  <si>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</si>
  <si>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</si>
  <si>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</si>
  <si>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</si>
  <si>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</si>
  <si>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</si>
  <si>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</si>
  <si>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</si>
  <si>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</si>
  <si>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</si>
  <si>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</si>
  <si>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</si>
  <si>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</si>
  <si>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</si>
  <si>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</si>
  <si>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</si>
  <si>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</si>
  <si>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</si>
  <si>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</si>
  <si>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</si>
  <si>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</si>
  <si>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</si>
  <si>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</si>
  <si>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</si>
  <si>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</si>
  <si>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</si>
  <si>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</si>
  <si>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</si>
  <si>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</si>
  <si>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</si>
  <si>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</si>
  <si>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</si>
  <si>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</si>
  <si>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</si>
  <si>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</si>
  <si>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</si>
  <si>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</si>
  <si>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</si>
  <si>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</si>
  <si>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</si>
  <si>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</si>
  <si>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</si>
  <si>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</si>
  <si>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</si>
  <si>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</si>
  <si>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</si>
  <si>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</si>
  <si>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</si>
  <si>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</si>
  <si>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</si>
  <si>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</si>
  <si>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</si>
  <si>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</si>
  <si>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</si>
  <si>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</si>
  <si>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</si>
  <si>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</si>
  <si>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</si>
  <si>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</si>
  <si>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</si>
  <si>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</si>
  <si>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</si>
  <si>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</si>
  <si>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</si>
  <si>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</si>
  <si>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</si>
  <si>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</si>
  <si>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</si>
  <si>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</si>
  <si>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</si>
  <si>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</si>
  <si>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</si>
  <si>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</si>
  <si>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</si>
  <si>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</si>
  <si>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</si>
  <si>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</si>
  <si>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</si>
  <si>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</si>
  <si>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</si>
  <si>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</si>
  <si>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</si>
  <si>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</si>
  <si>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</si>
  <si>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</si>
  <si>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</si>
  <si>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</si>
  <si>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</si>
  <si>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</si>
  <si>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</si>
  <si>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</si>
  <si>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</si>
  <si>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</si>
  <si>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</si>
  <si>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</si>
  <si>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</si>
  <si>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</si>
  <si>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</si>
  <si>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</si>
  <si>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</si>
  <si>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</si>
  <si>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</si>
  <si>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</si>
  <si>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</si>
  <si>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</si>
  <si>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</si>
  <si>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</si>
  <si>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</si>
  <si>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</si>
  <si>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</si>
  <si>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</si>
  <si>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</si>
  <si>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</si>
  <si>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</si>
  <si>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</si>
  <si>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</si>
  <si>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</si>
  <si>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</si>
  <si>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</si>
  <si>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</si>
  <si>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</si>
  <si>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</si>
  <si>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</si>
  <si>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</si>
  <si>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</si>
  <si>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</si>
  <si>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</si>
  <si>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</si>
  <si>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</si>
  <si>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</si>
  <si>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</si>
  <si>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</si>
  <si>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</si>
  <si>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</si>
  <si>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</si>
  <si>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</si>
  <si>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</si>
  <si>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</si>
  <si>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</si>
  <si>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</si>
  <si>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</si>
  <si>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</si>
  <si>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</si>
  <si>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</si>
  <si>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</si>
  <si>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</si>
  <si>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</si>
  <si>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</si>
  <si>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</si>
  <si>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</si>
  <si>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</si>
  <si>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</si>
  <si>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</si>
  <si>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</si>
  <si>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</si>
  <si>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</si>
  <si>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</si>
  <si>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</si>
  <si>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</si>
  <si>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</si>
  <si>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</si>
  <si>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</si>
  <si>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</si>
  <si>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</si>
  <si>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</si>
  <si>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</si>
  <si>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</si>
  <si>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</si>
  <si>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</si>
  <si>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</si>
  <si>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</si>
  <si>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</si>
  <si>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</si>
  <si>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</si>
  <si>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</si>
  <si>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</si>
  <si>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</si>
  <si>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</si>
  <si>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</si>
  <si>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</si>
  <si>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</si>
  <si>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</si>
  <si>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</si>
  <si>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</si>
  <si>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</si>
  <si>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</si>
  <si>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</si>
  <si>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</si>
  <si>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</si>
  <si>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</si>
  <si>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</si>
  <si>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</si>
  <si>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</si>
  <si>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</si>
  <si>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</si>
  <si>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</si>
  <si>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</si>
  <si>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</si>
  <si>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</si>
  <si>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</si>
  <si>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</si>
  <si>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</si>
  <si>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</si>
  <si>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</si>
  <si>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</si>
  <si>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</si>
  <si>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</si>
  <si>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</si>
  <si>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</si>
  <si>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</si>
  <si>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</si>
  <si>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</si>
  <si>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</si>
  <si>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</si>
  <si>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</si>
  <si>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</si>
  <si>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</si>
  <si>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</si>
  <si>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</si>
  <si>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</si>
  <si>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</si>
  <si>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</si>
  <si>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</si>
  <si>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</si>
  <si>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</si>
  <si>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</si>
  <si>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</si>
  <si>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</si>
  <si>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</si>
  <si>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</si>
  <si>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</si>
  <si>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</si>
  <si>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</si>
  <si>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</si>
  <si>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</si>
  <si>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</si>
  <si>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</si>
  <si>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</si>
  <si>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</si>
  <si>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</si>
  <si>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</si>
  <si>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</si>
  <si>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</si>
  <si>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</si>
  <si>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</si>
  <si>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</si>
  <si>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</si>
  <si>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</si>
  <si>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</si>
  <si>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</si>
  <si>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</si>
  <si>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</si>
  <si>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</si>
  <si>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</si>
  <si>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</si>
  <si>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</si>
  <si>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</si>
  <si>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</si>
  <si>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</si>
  <si>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</si>
  <si>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</si>
  <si>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</si>
  <si>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</si>
  <si>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</si>
  <si>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</si>
  <si>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</si>
  <si>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</si>
  <si>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</si>
  <si>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</si>
  <si>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</si>
  <si>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</si>
  <si>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</si>
  <si>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</si>
  <si>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</si>
  <si>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</si>
  <si>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</si>
  <si>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</si>
  <si>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</si>
  <si>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</si>
  <si>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</si>
  <si>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</si>
  <si>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</si>
  <si>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</si>
  <si>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</si>
  <si>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</si>
  <si>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</si>
  <si>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</si>
  <si>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</si>
  <si>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</si>
  <si>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</si>
  <si>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</si>
  <si>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</si>
  <si>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</si>
  <si>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</si>
  <si>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</si>
  <si>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</si>
  <si>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</si>
  <si>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</si>
  <si>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</si>
  <si>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</si>
  <si>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</si>
  <si>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</si>
  <si>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</si>
  <si>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</si>
  <si>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</si>
  <si>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</si>
  <si>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</si>
  <si>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</si>
  <si>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</si>
  <si>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</si>
  <si>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</si>
  <si>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</si>
  <si>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</si>
  <si>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</si>
  <si>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</si>
  <si>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</si>
  <si>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</si>
  <si>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</si>
  <si>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</si>
  <si>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</si>
  <si>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</si>
  <si>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</si>
  <si>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</si>
  <si>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</si>
  <si>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</si>
  <si>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</si>
  <si>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</si>
  <si>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</si>
  <si>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</si>
  <si>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</si>
  <si>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</si>
  <si>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</si>
  <si>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</si>
  <si>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</si>
  <si>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</si>
  <si>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</si>
  <si>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</si>
  <si>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</si>
  <si>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</si>
  <si>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</si>
  <si>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</si>
  <si>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</si>
  <si>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</si>
  <si>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</si>
  <si>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</si>
  <si>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</si>
  <si>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</si>
  <si>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</si>
  <si>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</si>
  <si>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</si>
  <si>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</si>
  <si>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</si>
  <si>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</si>
  <si>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</si>
  <si>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</si>
  <si>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</si>
  <si>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</si>
  <si>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</si>
  <si>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</si>
  <si>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</si>
  <si>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</si>
  <si>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</si>
  <si>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</si>
  <si>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</si>
  <si>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</si>
  <si>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</si>
  <si>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</si>
  <si>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</si>
  <si>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</si>
  <si>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</si>
  <si>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</si>
  <si>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</si>
  <si>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</si>
  <si>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</si>
  <si>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</si>
  <si>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</si>
  <si>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</si>
  <si>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</si>
  <si>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</si>
  <si>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</si>
  <si>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</si>
  <si>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</si>
  <si>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</si>
  <si>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</si>
  <si>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</si>
  <si>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</si>
  <si>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</si>
  <si>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</si>
  <si>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</si>
  <si>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</si>
  <si>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</si>
  <si>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</si>
  <si>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</si>
  <si>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</si>
  <si>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</si>
  <si>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</si>
  <si>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</si>
  <si>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</si>
  <si>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</si>
  <si>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</si>
  <si>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</si>
  <si>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</si>
  <si>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</si>
  <si>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</si>
  <si>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</si>
  <si>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</si>
  <si>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</si>
  <si>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</si>
  <si>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</si>
  <si>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</si>
  <si>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</si>
  <si>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</si>
  <si>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</si>
  <si>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</si>
  <si>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</si>
  <si>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</si>
  <si>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</si>
  <si>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</si>
  <si>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</si>
  <si>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</si>
  <si>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</si>
  <si>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</si>
  <si>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</si>
  <si>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</si>
  <si>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</si>
  <si>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</si>
  <si>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</si>
  <si>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</si>
  <si>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</si>
  <si>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</si>
  <si>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</si>
  <si>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</si>
  <si>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</si>
  <si>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</si>
  <si>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</si>
  <si>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</si>
  <si>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</si>
  <si>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</si>
  <si>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</si>
  <si>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</si>
  <si>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</si>
  <si>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</si>
  <si>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</si>
  <si>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</si>
  <si>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</si>
  <si>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</si>
  <si>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</si>
  <si>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</si>
  <si>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</si>
  <si>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</si>
  <si>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</si>
  <si>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</si>
  <si>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</si>
  <si>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</si>
  <si>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</si>
  <si>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</si>
  <si>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</si>
  <si>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</si>
  <si>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</si>
  <si>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</si>
  <si>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</si>
  <si>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</si>
  <si>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</si>
  <si>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</si>
  <si>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</si>
  <si>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</si>
  <si>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</si>
  <si>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</si>
  <si>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</si>
  <si>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</si>
  <si>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</si>
  <si>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</si>
  <si>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</si>
  <si>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</si>
  <si>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</si>
  <si>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</si>
  <si>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</si>
  <si>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</si>
  <si>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</si>
  <si>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</si>
  <si>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</si>
  <si>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</si>
  <si>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</si>
  <si>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</si>
  <si>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</si>
  <si>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</si>
  <si>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</si>
  <si>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</si>
  <si>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</si>
  <si>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</si>
  <si>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</si>
  <si>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</si>
  <si>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</si>
  <si>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</si>
  <si>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</si>
  <si>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</si>
  <si>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</si>
  <si>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</si>
  <si>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</si>
  <si>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</si>
  <si>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</si>
  <si>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</si>
  <si>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</si>
  <si>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</si>
  <si>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</si>
  <si>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</si>
  <si>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</si>
  <si>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</si>
  <si>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</si>
  <si>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</si>
  <si>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</si>
  <si>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</si>
  <si>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</si>
  <si>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</si>
  <si>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</si>
  <si>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</si>
  <si>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</si>
  <si>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</si>
  <si>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</si>
  <si>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</si>
  <si>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</si>
  <si>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</si>
  <si>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</si>
  <si>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</si>
  <si>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</si>
  <si>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</si>
  <si>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</si>
  <si>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</si>
  <si>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</si>
  <si>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</si>
  <si>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</si>
  <si>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</si>
  <si>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</si>
  <si>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</si>
  <si>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</si>
  <si>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</si>
  <si>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</si>
  <si>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</si>
  <si>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</si>
  <si>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</si>
  <si>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</si>
  <si>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</si>
  <si>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</si>
  <si>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</si>
  <si>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</si>
  <si>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</si>
  <si>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</si>
  <si>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</si>
  <si>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</si>
  <si>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</si>
  <si>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</si>
  <si>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</si>
  <si>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</si>
  <si>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</si>
  <si>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</si>
  <si>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</si>
  <si>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</si>
  <si>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</si>
  <si>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</si>
  <si>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</si>
  <si>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</si>
  <si>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</si>
  <si>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</si>
  <si>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</si>
  <si>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</si>
  <si>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</si>
  <si>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</si>
  <si>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</si>
  <si>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</si>
  <si>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</si>
  <si>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</si>
  <si>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</si>
  <si>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</si>
  <si>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</si>
  <si>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</si>
  <si>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</si>
  <si>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</si>
  <si>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</si>
  <si>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</si>
  <si>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</si>
  <si>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</si>
  <si>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</si>
  <si>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</si>
  <si>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</si>
  <si>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</si>
  <si>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</si>
  <si>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</si>
  <si>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</si>
  <si>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</si>
  <si>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</si>
  <si>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</si>
  <si>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</si>
  <si>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</si>
  <si>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</si>
  <si>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</si>
  <si>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</si>
  <si>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</si>
  <si>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</si>
  <si>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</si>
  <si>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</si>
  <si>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</si>
  <si>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</si>
  <si>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</si>
  <si>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</si>
  <si>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</si>
  <si>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</si>
  <si>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</si>
  <si>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</si>
  <si>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</si>
  <si>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</si>
  <si>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</si>
  <si>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</si>
  <si>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</si>
  <si>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</si>
  <si>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</si>
  <si>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</si>
  <si>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</si>
  <si>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</si>
  <si>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</si>
  <si>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</si>
  <si>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</si>
  <si>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</si>
  <si>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</si>
  <si>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</si>
  <si>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</si>
  <si>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</si>
  <si>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</si>
  <si>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</si>
  <si>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</si>
  <si>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</si>
  <si>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</si>
  <si>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</si>
  <si>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</si>
  <si>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</si>
  <si>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</si>
  <si>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</si>
  <si>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</si>
  <si>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</si>
  <si>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</si>
  <si>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</si>
  <si>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</si>
  <si>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</si>
  <si>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</si>
  <si>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</si>
  <si>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</si>
  <si>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</si>
  <si>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</si>
  <si>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</si>
  <si>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</si>
  <si>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</si>
  <si>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</si>
  <si>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</si>
  <si>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</si>
  <si>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</si>
  <si>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</si>
  <si>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</si>
  <si>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</si>
  <si>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</si>
  <si>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</si>
  <si>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</si>
  <si>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</si>
  <si>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</si>
  <si>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</si>
  <si>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</si>
  <si>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</si>
  <si>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</si>
  <si>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</si>
  <si>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</si>
  <si>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</si>
  <si>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</si>
  <si>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</si>
  <si>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</si>
  <si>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</si>
  <si>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</si>
  <si>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</si>
  <si>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</si>
  <si>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</si>
  <si>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</si>
  <si>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</si>
  <si>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</si>
  <si>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</si>
  <si>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</si>
  <si>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</si>
  <si>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</si>
  <si>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</si>
  <si>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</si>
  <si>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</si>
  <si>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</si>
  <si>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</si>
  <si>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</si>
  <si>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</si>
  <si>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</si>
  <si>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</si>
  <si>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</si>
  <si>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</si>
  <si>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</si>
  <si>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</si>
  <si>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</si>
  <si>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</si>
  <si>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</si>
  <si>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</si>
  <si>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</si>
  <si>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</si>
  <si>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</si>
  <si>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</si>
  <si>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</si>
  <si>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</si>
  <si>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</si>
  <si>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</si>
  <si>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</si>
  <si>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</si>
  <si>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</si>
  <si>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</si>
  <si>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</si>
  <si>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</si>
  <si>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</si>
  <si>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</si>
  <si>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</si>
  <si>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</si>
  <si>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</si>
  <si>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</si>
  <si>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</si>
  <si>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</si>
  <si>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</si>
  <si>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</si>
  <si>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</si>
  <si>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</si>
  <si>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</si>
  <si>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</si>
  <si>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</si>
  <si>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</si>
  <si>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</si>
  <si>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</si>
  <si>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</si>
  <si>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</si>
  <si>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</si>
  <si>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</si>
  <si>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</si>
  <si>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</si>
  <si>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</si>
  <si>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</si>
  <si>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</si>
  <si>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</si>
  <si>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</si>
  <si>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</si>
  <si>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</si>
  <si>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</si>
  <si>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</si>
  <si>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</si>
  <si>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</si>
  <si>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</si>
  <si>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</si>
  <si>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</si>
  <si>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</si>
  <si>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</si>
  <si>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</si>
  <si>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</si>
  <si>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</si>
  <si>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</si>
  <si>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</si>
  <si>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</si>
  <si>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</si>
  <si>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</si>
  <si>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</si>
  <si>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</si>
  <si>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</si>
  <si>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</si>
  <si>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</si>
  <si>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</si>
  <si>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</si>
  <si>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</si>
  <si>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</si>
  <si>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</si>
  <si>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</si>
  <si>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</si>
  <si>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</si>
  <si>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</si>
  <si>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</si>
  <si>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</si>
  <si>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</si>
  <si>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</si>
  <si>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</si>
  <si>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</si>
  <si>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</si>
  <si>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</si>
  <si>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</si>
  <si>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</si>
  <si>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</si>
  <si>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</si>
  <si>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</si>
  <si>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</si>
  <si>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</si>
  <si>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</si>
  <si>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</si>
  <si>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</si>
  <si>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</si>
  <si>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</si>
  <si>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</si>
  <si>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</si>
  <si>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</si>
  <si>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</si>
  <si>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</si>
  <si>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</si>
  <si>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</si>
  <si>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</si>
  <si>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</si>
  <si>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</si>
  <si>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</si>
  <si>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</si>
  <si>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</si>
  <si>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</si>
  <si>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</si>
  <si>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</si>
  <si>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</si>
  <si>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</si>
  <si>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</si>
  <si>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</si>
  <si>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</si>
  <si>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</si>
  <si>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</si>
  <si>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</si>
  <si>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</si>
  <si>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</si>
  <si>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</si>
  <si>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</si>
  <si>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</si>
  <si>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</si>
  <si>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</si>
  <si>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</si>
  <si>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</si>
  <si>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</si>
  <si>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</si>
  <si>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</si>
  <si>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</si>
  <si>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</si>
  <si>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</si>
  <si>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</si>
  <si>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</si>
  <si>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</si>
  <si>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</si>
  <si>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</si>
  <si>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</si>
  <si>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</si>
  <si>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</si>
  <si>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</si>
  <si>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</si>
  <si>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</si>
  <si>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</si>
  <si>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</si>
  <si>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</si>
  <si>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</si>
  <si>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</si>
  <si>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</si>
  <si>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</si>
  <si>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</si>
  <si>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</si>
  <si>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</si>
  <si>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</si>
  <si>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</si>
  <si>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</si>
  <si>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</si>
  <si>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</si>
  <si>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</si>
  <si>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</si>
  <si>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</si>
  <si>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</si>
  <si>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</si>
  <si>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</si>
  <si>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</si>
  <si>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</si>
  <si>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</si>
  <si>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</si>
  <si>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</si>
  <si>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</si>
  <si>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</si>
  <si>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</si>
  <si>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</si>
  <si>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</si>
  <si>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</si>
  <si>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</si>
  <si>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</si>
  <si>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</si>
  <si>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</si>
  <si>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</si>
  <si>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</si>
  <si>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</si>
  <si>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</si>
  <si>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</si>
  <si>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</si>
  <si>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</si>
  <si>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</si>
  <si>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</si>
  <si>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</si>
  <si>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</si>
  <si>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</si>
  <si>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</si>
  <si>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</si>
  <si>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</si>
  <si>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</si>
  <si>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</si>
  <si>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</si>
  <si>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</si>
  <si>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</si>
  <si>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</si>
  <si>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</si>
  <si>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</si>
  <si>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</si>
  <si>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</si>
  <si>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</si>
  <si>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</si>
  <si>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</si>
  <si>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</si>
  <si>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</si>
  <si>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</si>
  <si>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</si>
  <si>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</si>
  <si>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</si>
  <si>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</si>
  <si>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</si>
  <si>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</si>
  <si>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</si>
  <si>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</si>
  <si>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</si>
  <si>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</si>
  <si>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</si>
  <si>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</si>
  <si>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</si>
  <si>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</si>
  <si>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</si>
  <si>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</si>
  <si>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</si>
  <si>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</si>
  <si>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</si>
  <si>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</si>
  <si>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</si>
  <si>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</si>
  <si>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</si>
  <si>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</si>
  <si>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</si>
  <si>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</si>
  <si>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</si>
  <si>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</si>
  <si>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</si>
  <si>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</si>
  <si>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</si>
  <si>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</si>
  <si>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</si>
  <si>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</si>
  <si>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</si>
  <si>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</si>
  <si>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</si>
  <si>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</si>
  <si>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</si>
  <si>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</si>
  <si>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</si>
  <si>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</si>
  <si>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</si>
  <si>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</si>
  <si>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</si>
  <si>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</si>
  <si>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</si>
  <si>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</si>
  <si>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</si>
  <si>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</si>
  <si>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</si>
  <si>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</si>
  <si>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</si>
  <si>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</si>
  <si>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</si>
  <si>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</si>
  <si>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</si>
  <si>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</si>
  <si>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</si>
  <si>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</si>
  <si>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</si>
  <si>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</si>
  <si>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</si>
  <si>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</si>
  <si>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</si>
  <si>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</si>
  <si>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</si>
  <si>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</si>
  <si>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</si>
  <si>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</si>
  <si>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</si>
  <si>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</si>
  <si>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</si>
  <si>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</si>
  <si>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</si>
  <si>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</si>
  <si>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</si>
  <si>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</si>
  <si>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</si>
  <si>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</si>
  <si>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</si>
  <si>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</si>
  <si>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</si>
  <si>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</si>
  <si>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</si>
  <si>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</si>
  <si>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</si>
  <si>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</si>
  <si>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</si>
  <si>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</si>
  <si>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</si>
  <si>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</si>
  <si>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</si>
  <si>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</si>
  <si>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</si>
  <si>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</si>
  <si>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</si>
  <si>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</si>
  <si>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</si>
  <si>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</si>
  <si>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</si>
  <si>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</si>
  <si>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</si>
  <si>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</si>
  <si>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</si>
  <si>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</si>
  <si>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</si>
  <si>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</si>
  <si>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</si>
  <si>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</si>
  <si>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</si>
  <si>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</si>
  <si>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</si>
  <si>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</si>
  <si>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</si>
  <si>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</si>
  <si>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</si>
  <si>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</si>
  <si>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</si>
  <si>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</si>
  <si>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</si>
  <si>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</si>
  <si>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</si>
  <si>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</si>
  <si>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</si>
  <si>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</si>
  <si>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</si>
  <si>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</si>
  <si>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</si>
  <si>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</si>
  <si>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</si>
  <si>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</si>
  <si>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</si>
  <si>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</si>
  <si>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</si>
  <si>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</si>
  <si>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</si>
  <si>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</si>
  <si>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</si>
  <si>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</si>
  <si>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</si>
  <si>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</si>
  <si>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</si>
  <si>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</si>
  <si>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</si>
  <si>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</si>
  <si>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</si>
  <si>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</si>
  <si>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</si>
  <si>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</si>
  <si>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</si>
  <si>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</si>
  <si>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</si>
  <si>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</si>
  <si>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</si>
  <si>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</si>
  <si>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</si>
  <si>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</si>
  <si>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</si>
  <si>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</si>
  <si>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</si>
  <si>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</si>
  <si>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</si>
  <si>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</si>
  <si>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</si>
  <si>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</si>
  <si>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</si>
  <si>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</si>
  <si>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</si>
  <si>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</si>
  <si>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</si>
  <si>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</si>
  <si>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</si>
  <si>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</si>
  <si>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</si>
  <si>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</si>
  <si>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</si>
  <si>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</si>
  <si>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</si>
  <si>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</si>
  <si>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</si>
  <si>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</si>
  <si>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</si>
  <si>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</si>
  <si>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</si>
  <si>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</si>
  <si>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</si>
  <si>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</si>
  <si>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</si>
  <si>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</si>
  <si>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</si>
  <si>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</si>
  <si>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</si>
  <si>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</si>
  <si>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</si>
  <si>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</si>
  <si>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</si>
  <si>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</si>
  <si>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</si>
  <si>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</si>
  <si>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</si>
  <si>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</si>
  <si>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</si>
  <si>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</si>
  <si>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</si>
  <si>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</si>
  <si>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</si>
  <si>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</si>
  <si>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</si>
  <si>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</si>
  <si>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</si>
  <si>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</si>
  <si>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</si>
  <si>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</si>
  <si>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</si>
  <si>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</si>
  <si>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</si>
  <si>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</si>
  <si>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</si>
  <si>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</si>
  <si>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</si>
  <si>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</si>
  <si>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</si>
  <si>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</si>
  <si>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</si>
  <si>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</si>
  <si>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</si>
  <si>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</si>
  <si>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</si>
  <si>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</si>
  <si>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</si>
  <si>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</si>
  <si>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</si>
  <si>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</si>
  <si>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</si>
  <si>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</si>
  <si>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</si>
  <si>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</si>
  <si>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</si>
  <si>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</si>
  <si>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</si>
  <si>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</si>
  <si>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</si>
  <si>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</si>
  <si>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</si>
  <si>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</si>
  <si>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</si>
  <si>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</si>
  <si>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</si>
  <si>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</si>
  <si>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</si>
  <si>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</si>
  <si>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</si>
  <si>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</si>
  <si>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</si>
  <si>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</si>
  <si>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</si>
  <si>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</si>
  <si>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</si>
  <si>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</si>
  <si>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</si>
  <si>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</si>
  <si>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</si>
  <si>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</si>
  <si>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</si>
  <si>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</si>
  <si>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</si>
  <si>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</si>
  <si>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</si>
  <si>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</si>
  <si>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</si>
  <si>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</si>
  <si>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</si>
  <si>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</si>
  <si>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</si>
  <si>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</si>
  <si>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</si>
  <si>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</si>
  <si>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</si>
  <si>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</si>
  <si>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</si>
  <si>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</si>
  <si>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</si>
  <si>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</si>
  <si>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</si>
  <si>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</si>
  <si>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</si>
  <si>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</si>
  <si>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</si>
  <si>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</si>
  <si>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</si>
  <si>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</si>
  <si>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</si>
  <si>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</si>
  <si>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</si>
  <si>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</si>
  <si>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</si>
  <si>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</si>
  <si>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</si>
  <si>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</si>
  <si>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</si>
  <si>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</si>
  <si>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</si>
  <si>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</si>
  <si>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</si>
  <si>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</si>
  <si>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</si>
  <si>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</si>
  <si>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</si>
  <si>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</si>
  <si>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</si>
  <si>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</si>
  <si>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</si>
  <si>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</si>
  <si>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</si>
  <si>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</si>
  <si>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</si>
  <si>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</si>
  <si>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</si>
  <si>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</si>
  <si>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</si>
  <si>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</si>
  <si>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</si>
  <si>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</si>
  <si>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</si>
  <si>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</si>
  <si>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</si>
  <si>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</si>
  <si>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</si>
  <si>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</si>
  <si>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</si>
  <si>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</si>
  <si>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</si>
  <si>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</si>
  <si>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</si>
  <si>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</si>
  <si>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</si>
  <si>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</si>
  <si>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</si>
  <si>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</si>
  <si>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</si>
  <si>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</si>
  <si>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</si>
  <si>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</si>
  <si>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</si>
  <si>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</si>
  <si>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</si>
  <si>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</si>
  <si>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</si>
  <si>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</si>
  <si>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</si>
  <si>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</si>
  <si>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</si>
  <si>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</si>
  <si>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</si>
  <si>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</si>
  <si>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</si>
  <si>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</si>
  <si>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</si>
  <si>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</si>
  <si>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</si>
  <si>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</si>
  <si>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</si>
  <si>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</si>
  <si>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</si>
  <si>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</si>
  <si>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</si>
  <si>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</si>
  <si>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</si>
  <si>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</si>
  <si>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</si>
  <si>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</si>
  <si>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</si>
  <si>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</si>
  <si>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</si>
  <si>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</si>
  <si>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</si>
  <si>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</si>
  <si>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</si>
  <si>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</si>
  <si>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</si>
  <si>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</si>
  <si>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</si>
  <si>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</si>
  <si>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</si>
  <si>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</si>
  <si>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</si>
  <si>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</si>
  <si>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</si>
  <si>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</si>
  <si>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</si>
  <si>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</si>
  <si>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</si>
  <si>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</si>
  <si>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</si>
  <si>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</si>
  <si>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</si>
  <si>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</si>
  <si>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</si>
  <si>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</si>
  <si>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</si>
  <si>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</si>
  <si>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</si>
  <si>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</si>
  <si>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</si>
  <si>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</si>
  <si>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</si>
  <si>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</si>
  <si>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</si>
  <si>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</si>
  <si>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</si>
  <si>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</si>
  <si>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</si>
  <si>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</si>
  <si>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</si>
  <si>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</si>
  <si>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</si>
  <si>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</si>
  <si>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</si>
  <si>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</si>
  <si>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</si>
  <si>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</si>
  <si>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</si>
  <si>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</si>
  <si>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</si>
  <si>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</si>
  <si>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</si>
  <si>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</si>
  <si>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</si>
  <si>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</si>
  <si>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</si>
  <si>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</si>
  <si>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</si>
  <si>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</si>
  <si>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</si>
  <si>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</si>
  <si>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</si>
  <si>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</si>
  <si>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</si>
  <si>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</si>
  <si>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</si>
  <si>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</si>
  <si>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</si>
  <si>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</si>
  <si>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</si>
  <si>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</si>
  <si>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</si>
  <si>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</si>
  <si>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</si>
  <si>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</si>
  <si>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</si>
  <si>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</si>
  <si>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</si>
  <si>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</si>
  <si>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</si>
  <si>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</si>
  <si>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</si>
  <si>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</si>
  <si>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</si>
  <si>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</si>
  <si>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</si>
  <si>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</si>
  <si>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</si>
  <si>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</si>
  <si>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</si>
  <si>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</si>
  <si>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</si>
  <si>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</si>
  <si>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</si>
  <si>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</si>
  <si>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</si>
  <si>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</si>
  <si>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</si>
  <si>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</si>
  <si>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</si>
  <si>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</si>
  <si>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</si>
  <si>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</si>
  <si>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</si>
  <si>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</si>
  <si>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</si>
  <si>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</si>
  <si>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</si>
  <si>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</si>
  <si>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</si>
  <si>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</si>
  <si>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</si>
  <si>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</si>
  <si>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</si>
  <si>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</si>
  <si>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</si>
  <si>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</si>
  <si>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</si>
  <si>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</si>
  <si>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</si>
  <si>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</si>
  <si>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</si>
  <si>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</si>
  <si>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</si>
  <si>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</si>
  <si>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</si>
  <si>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</si>
  <si>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</si>
  <si>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</si>
  <si>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</si>
  <si>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</si>
  <si>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</si>
  <si>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</si>
  <si>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</si>
  <si>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</si>
  <si>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</si>
  <si>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</si>
  <si>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</si>
  <si>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</si>
  <si>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</si>
  <si>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</si>
  <si>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</si>
  <si>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</si>
  <si>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</si>
  <si>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</si>
  <si>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</si>
  <si>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</si>
  <si>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</si>
  <si>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</si>
  <si>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</si>
  <si>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</si>
  <si>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</si>
  <si>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</si>
  <si>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</si>
  <si>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</si>
  <si>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</si>
  <si>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</si>
  <si>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</si>
  <si>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</si>
  <si>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</si>
  <si>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</si>
  <si>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</si>
  <si>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</si>
  <si>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</si>
  <si>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</si>
  <si>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</si>
  <si>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</si>
  <si>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</si>
  <si>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</si>
  <si>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</si>
  <si>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</si>
  <si>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</si>
  <si>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</si>
  <si>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</si>
  <si>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</si>
  <si>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</si>
  <si>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</si>
  <si>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</si>
  <si>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</si>
  <si>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</si>
  <si>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</si>
  <si>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</si>
  <si>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</si>
  <si>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</si>
  <si>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</si>
  <si>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</si>
  <si>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</si>
  <si>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</si>
  <si>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</si>
  <si>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</si>
  <si>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</si>
  <si>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</si>
  <si>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</si>
  <si>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</si>
  <si>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</si>
  <si>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</si>
  <si>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</si>
  <si>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</si>
  <si>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</si>
  <si>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</si>
  <si>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</si>
  <si>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</si>
  <si>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</si>
  <si>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</si>
  <si>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</si>
  <si>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</si>
  <si>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</si>
  <si>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</si>
  <si>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</si>
  <si>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</si>
  <si>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</si>
  <si>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</si>
  <si>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</si>
  <si>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</si>
  <si>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</si>
  <si>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</si>
  <si>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</si>
  <si>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</si>
  <si>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</si>
  <si>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</si>
  <si>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</si>
  <si>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</si>
  <si>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</si>
  <si>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</si>
  <si>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</si>
  <si>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</si>
  <si>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</si>
  <si>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</si>
  <si>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</si>
  <si>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</si>
  <si>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</si>
  <si>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</si>
  <si>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</si>
  <si>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</si>
  <si>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</si>
  <si>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</si>
  <si>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</si>
  <si>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</si>
  <si>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</si>
  <si>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</si>
  <si>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</si>
  <si>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</si>
  <si>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</si>
  <si>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</si>
  <si>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</si>
  <si>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</si>
  <si>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</si>
  <si>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</si>
  <si>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</si>
  <si>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</si>
  <si>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</si>
  <si>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</si>
  <si>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</si>
  <si>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</si>
  <si>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</si>
  <si>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</si>
  <si>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</si>
  <si>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</si>
  <si>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</si>
  <si>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</si>
  <si>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</si>
  <si>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</si>
  <si>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</si>
  <si>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</si>
  <si>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</si>
  <si>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</si>
  <si>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</si>
  <si>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</si>
  <si>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</si>
  <si>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</si>
  <si>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</si>
  <si>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</si>
  <si>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</si>
  <si>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</si>
  <si>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</si>
  <si>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</si>
  <si>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</si>
  <si>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</si>
  <si>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</si>
  <si>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</si>
  <si>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</si>
  <si>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</si>
  <si>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</si>
  <si>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</si>
  <si>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</si>
  <si>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</si>
  <si>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</si>
  <si>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</si>
  <si>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</si>
  <si>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</si>
  <si>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</si>
  <si>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</si>
  <si>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</si>
  <si>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</si>
  <si>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</si>
  <si>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</si>
  <si>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</si>
  <si>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</si>
  <si>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</si>
  <si>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</si>
  <si>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</si>
  <si>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</si>
  <si>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</si>
  <si>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</si>
  <si>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</si>
  <si>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</si>
  <si>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</si>
  <si>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</si>
  <si>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</si>
  <si>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</si>
  <si>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</si>
  <si>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</si>
  <si>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</si>
  <si>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</si>
  <si>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</si>
  <si>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</si>
  <si>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</si>
  <si>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</si>
  <si>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</si>
  <si>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</si>
  <si>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</si>
  <si>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</si>
  <si>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</si>
  <si>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</si>
  <si>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</si>
  <si>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</si>
  <si>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</si>
  <si>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</si>
  <si>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</si>
  <si>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</si>
  <si>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</si>
  <si>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</si>
  <si>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</si>
  <si>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</si>
  <si>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</si>
  <si>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</si>
  <si>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</si>
  <si>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</si>
  <si>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</si>
  <si>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</si>
  <si>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</si>
  <si>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</si>
  <si>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</si>
  <si>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</si>
  <si>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</si>
  <si>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</si>
  <si>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</si>
  <si>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</si>
  <si>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</si>
  <si>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</si>
  <si>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</si>
  <si>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</si>
  <si>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</si>
  <si>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</si>
  <si>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</si>
  <si>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</si>
  <si>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</si>
  <si>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</si>
  <si>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</si>
  <si>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</si>
  <si>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</si>
  <si>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</si>
  <si>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</si>
  <si>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</si>
  <si>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</si>
  <si>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</si>
  <si>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</si>
  <si>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</si>
  <si>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</si>
  <si>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</si>
  <si>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</si>
  <si>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</si>
  <si>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</si>
  <si>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</si>
  <si>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</si>
  <si>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</si>
  <si>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</si>
  <si>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</si>
  <si>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</si>
  <si>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</si>
  <si>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</si>
  <si>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</si>
  <si>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</si>
  <si>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</si>
  <si>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</si>
  <si>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</si>
  <si>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</si>
  <si>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</si>
  <si>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</si>
  <si>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</si>
  <si>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</si>
  <si>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</si>
  <si>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</si>
  <si>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</si>
  <si>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</si>
  <si>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</si>
  <si>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</si>
  <si>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</si>
  <si>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</si>
  <si>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</si>
  <si>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</si>
  <si>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</si>
  <si>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</si>
  <si>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</si>
  <si>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</si>
  <si>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</si>
  <si>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</si>
  <si>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</si>
  <si>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</si>
  <si>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</si>
  <si>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</si>
  <si>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</si>
  <si>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</si>
  <si>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</si>
  <si>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</si>
  <si>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</si>
  <si>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</si>
  <si>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</si>
  <si>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</si>
  <si>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</si>
  <si>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</si>
  <si>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</si>
  <si>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</si>
  <si>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</si>
  <si>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</si>
  <si>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</si>
  <si>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</si>
  <si>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</si>
  <si>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</si>
  <si>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</si>
  <si>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</si>
  <si>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</si>
  <si>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</si>
  <si>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</si>
  <si>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</si>
  <si>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</si>
  <si>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</si>
  <si>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</si>
  <si>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</si>
  <si>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</si>
  <si>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</si>
  <si>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</si>
  <si>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</si>
  <si>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</si>
  <si>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</si>
  <si>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</si>
  <si>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</si>
  <si>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</si>
  <si>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</si>
  <si>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</si>
  <si>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</si>
  <si>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</si>
  <si>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</si>
  <si>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</si>
  <si>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</si>
  <si>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</si>
  <si>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</si>
  <si>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</si>
  <si>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</si>
  <si>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</si>
  <si>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</si>
  <si>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</si>
  <si>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</si>
  <si>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</si>
  <si>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</si>
  <si>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</si>
  <si>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</si>
  <si>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</si>
  <si>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</si>
  <si>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</si>
  <si>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</si>
  <si>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</si>
  <si>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</si>
  <si>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</si>
  <si>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</si>
  <si>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</si>
  <si>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</si>
  <si>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</si>
  <si>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</si>
  <si>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</si>
  <si>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</si>
  <si>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</si>
  <si>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</si>
  <si>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</si>
  <si>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</si>
  <si>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</si>
  <si>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</si>
  <si>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</si>
  <si>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</si>
  <si>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</si>
  <si>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</si>
  <si>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</si>
  <si>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</si>
  <si>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</si>
  <si>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</si>
  <si>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</si>
  <si>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</si>
  <si>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</si>
  <si>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</si>
  <si>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</si>
  <si>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</si>
  <si>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</si>
  <si>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</si>
  <si>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</si>
  <si>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</si>
  <si>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</si>
  <si>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</si>
  <si>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</si>
  <si>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</si>
  <si>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</si>
  <si>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</si>
  <si>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</si>
  <si>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</si>
  <si>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</si>
  <si>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</si>
  <si>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</si>
  <si>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</si>
  <si>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</si>
  <si>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</si>
  <si>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</si>
  <si>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</si>
  <si>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</si>
  <si>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</si>
  <si>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</si>
  <si>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</si>
  <si>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</si>
  <si>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</si>
  <si>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</si>
  <si>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</si>
  <si>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</si>
  <si>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</si>
  <si>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</si>
  <si>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</si>
  <si>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</si>
  <si>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</si>
  <si>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</si>
  <si>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</si>
  <si>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</si>
  <si>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</si>
  <si>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</si>
  <si>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</si>
  <si>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</si>
  <si>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</si>
  <si>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</si>
  <si>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</si>
  <si>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</si>
  <si>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</si>
  <si>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</si>
  <si>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</si>
  <si>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</si>
  <si>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</si>
  <si>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</si>
  <si>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</si>
  <si>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</si>
  <si>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</si>
  <si>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</si>
  <si>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</si>
  <si>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</si>
  <si>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</si>
  <si>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</si>
  <si>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</si>
  <si>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</si>
  <si>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</si>
  <si>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</si>
  <si>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</si>
  <si>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</si>
  <si>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</si>
  <si>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</si>
  <si>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</si>
  <si>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</si>
  <si>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</si>
  <si>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</si>
  <si>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</si>
  <si>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</si>
  <si>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</si>
  <si>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</si>
  <si>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</si>
  <si>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</si>
  <si>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</si>
  <si>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</si>
  <si>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</si>
  <si>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</si>
  <si>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</si>
  <si>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</si>
  <si>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</si>
  <si>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</si>
  <si>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</si>
  <si>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</si>
  <si>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</si>
  <si>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</si>
  <si>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</si>
  <si>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</si>
  <si>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</si>
  <si>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</si>
  <si>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</si>
  <si>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</si>
  <si>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</si>
  <si>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</si>
  <si>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</si>
  <si>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</si>
  <si>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</si>
  <si>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</si>
  <si>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</si>
  <si>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</si>
  <si>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</si>
  <si>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</si>
  <si>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</si>
  <si>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</si>
  <si>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</si>
  <si>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</si>
  <si>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</si>
  <si>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</si>
  <si>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</si>
  <si>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</si>
  <si>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</si>
  <si>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</si>
  <si>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</si>
  <si>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</si>
  <si>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</si>
  <si>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</si>
  <si>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</si>
  <si>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</si>
  <si>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</si>
  <si>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</si>
  <si>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</si>
  <si>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</si>
  <si>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</si>
  <si>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</si>
  <si>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</si>
  <si>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</si>
  <si>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</si>
  <si>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</si>
  <si>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</si>
  <si>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</si>
  <si>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</si>
  <si>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</si>
  <si>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</si>
  <si>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</si>
  <si>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</si>
  <si>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</si>
  <si>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</si>
  <si>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</si>
  <si>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</si>
  <si>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</si>
  <si>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</si>
  <si>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</si>
  <si>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</si>
  <si>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</si>
  <si>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</si>
  <si>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</si>
  <si>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</si>
  <si>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</si>
  <si>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</si>
  <si>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</si>
  <si>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</si>
  <si>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</si>
  <si>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</si>
  <si>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</si>
  <si>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</si>
  <si>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</si>
  <si>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</si>
  <si>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</si>
  <si>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</si>
  <si>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</si>
  <si>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</si>
  <si>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</si>
  <si>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</si>
  <si>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</si>
  <si>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</si>
  <si>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</si>
  <si>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</si>
  <si>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</si>
  <si>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</si>
  <si>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</si>
  <si>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</si>
  <si>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</si>
  <si>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</si>
  <si>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</si>
  <si>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</si>
  <si>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</si>
  <si>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</si>
  <si>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</si>
  <si>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</si>
  <si>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</si>
  <si>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</si>
  <si>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</si>
  <si>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</si>
  <si>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</si>
  <si>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</si>
  <si>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</si>
  <si>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</si>
  <si>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</si>
  <si>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</si>
  <si>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</si>
  <si>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</si>
  <si>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</si>
  <si>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</si>
  <si>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</si>
  <si>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</si>
  <si>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</si>
  <si>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</si>
  <si>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</si>
  <si>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</si>
  <si>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</si>
  <si>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</si>
  <si>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</si>
  <si>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</si>
  <si>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</si>
  <si>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</si>
  <si>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</si>
  <si>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</si>
  <si>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</si>
  <si>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</si>
  <si>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</si>
  <si>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</si>
  <si>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</si>
  <si>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</si>
  <si>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</si>
  <si>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</si>
  <si>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</si>
  <si>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</si>
  <si>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</si>
  <si>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</si>
  <si>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</si>
  <si>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</si>
  <si>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</si>
  <si>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</si>
  <si>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</si>
  <si>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</si>
  <si>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</si>
  <si>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</si>
  <si>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</si>
  <si>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</si>
  <si>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</si>
  <si>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</si>
  <si>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</si>
  <si>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</si>
  <si>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</si>
  <si>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</si>
  <si>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</si>
  <si>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</si>
  <si>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</si>
  <si>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</si>
  <si>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</si>
  <si>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</si>
  <si>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</si>
  <si>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</si>
  <si>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</si>
  <si>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</si>
  <si>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</si>
  <si>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</si>
  <si>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</si>
  <si>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</si>
  <si>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</si>
  <si>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</si>
  <si>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</si>
  <si>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</si>
  <si>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</si>
  <si>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</si>
  <si>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</si>
  <si>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</si>
  <si>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</si>
  <si>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</si>
  <si>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</si>
  <si>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</si>
  <si>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</si>
  <si>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</si>
  <si>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</si>
  <si>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</si>
  <si>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</si>
  <si>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</si>
  <si>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</si>
  <si>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</si>
  <si>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</si>
  <si>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</si>
  <si>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</si>
  <si>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</si>
  <si>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</si>
  <si>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</si>
  <si>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</si>
  <si>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</si>
  <si>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</si>
  <si>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</si>
  <si>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</si>
  <si>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</si>
  <si>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</si>
  <si>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</si>
  <si>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</si>
  <si>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</si>
  <si>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</si>
  <si>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</si>
  <si>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</si>
  <si>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</si>
  <si>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</si>
  <si>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</si>
  <si>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</si>
  <si>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</si>
  <si>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</si>
  <si>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</si>
  <si>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</si>
  <si>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</si>
  <si>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</si>
  <si>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</si>
  <si>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</si>
  <si>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</si>
  <si>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</si>
  <si>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</si>
  <si>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</si>
  <si>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</si>
  <si>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</si>
  <si>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</si>
  <si>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</si>
  <si>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</si>
  <si>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</si>
  <si>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</si>
  <si>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</si>
  <si>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</si>
  <si>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</si>
  <si>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</si>
  <si>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</si>
  <si>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</si>
  <si>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</si>
  <si>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</si>
  <si>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</si>
  <si>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</si>
  <si>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</si>
  <si>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</si>
  <si>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</si>
  <si>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</si>
  <si>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</si>
  <si>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</si>
  <si>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</si>
  <si>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</si>
  <si>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</si>
  <si>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</si>
  <si>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</si>
  <si>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</si>
  <si>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</si>
  <si>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</si>
  <si>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</si>
  <si>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</si>
  <si>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</si>
  <si>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</si>
  <si>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</si>
  <si>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</si>
  <si>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</si>
  <si>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</si>
  <si>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</si>
  <si>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</si>
  <si>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</si>
  <si>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</si>
  <si>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</si>
  <si>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</si>
  <si>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</si>
  <si>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</si>
  <si>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</si>
  <si>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</si>
  <si>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</si>
  <si>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</si>
  <si>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</si>
  <si>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</si>
  <si>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</si>
  <si>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</si>
  <si>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</si>
  <si>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</si>
  <si>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</si>
  <si>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</si>
  <si>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</si>
  <si>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</si>
  <si>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</si>
  <si>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</si>
  <si>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</si>
  <si>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</si>
  <si>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</si>
  <si>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</si>
  <si>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</si>
  <si>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</si>
  <si>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</si>
  <si>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</si>
  <si>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</si>
  <si>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</si>
  <si>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</si>
  <si>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</si>
  <si>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</si>
  <si>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</si>
  <si>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</si>
  <si>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</si>
  <si>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</si>
  <si>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</si>
  <si>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</si>
  <si>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</si>
  <si>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</si>
  <si>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</si>
  <si>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</si>
  <si>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</si>
  <si>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</si>
  <si>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</si>
  <si>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</si>
  <si>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</si>
  <si>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</si>
  <si>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</si>
  <si>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</si>
  <si>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</si>
  <si>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</si>
  <si>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</si>
  <si>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</si>
  <si>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</si>
  <si>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</si>
  <si>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</si>
  <si>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</si>
  <si>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</si>
  <si>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</si>
  <si>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</si>
  <si>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</si>
  <si>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</si>
  <si>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</si>
  <si>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</si>
  <si>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</si>
  <si>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</si>
  <si>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</si>
  <si>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</si>
  <si>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</si>
  <si>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</si>
  <si>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</si>
  <si>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</si>
  <si>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</si>
  <si>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</si>
  <si>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</si>
  <si>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</si>
  <si>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</si>
  <si>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</si>
  <si>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</si>
  <si>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</si>
  <si>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</si>
  <si>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</si>
  <si>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</si>
  <si>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</si>
  <si>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</si>
  <si>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</si>
  <si>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</si>
  <si>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</si>
  <si>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</si>
  <si>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</si>
  <si>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</si>
  <si>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</si>
  <si>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</si>
  <si>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</si>
  <si>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</si>
  <si>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</si>
  <si>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</si>
  <si>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</si>
  <si>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</si>
  <si>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</si>
  <si>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</si>
  <si>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</si>
  <si>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</si>
  <si>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</si>
  <si>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</si>
  <si>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</si>
  <si>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</si>
  <si>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</si>
  <si>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</si>
  <si>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</si>
  <si>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</si>
  <si>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</si>
  <si>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</si>
  <si>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</si>
  <si>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</si>
  <si>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</si>
  <si>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</si>
  <si>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</si>
  <si>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</si>
  <si>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</si>
  <si>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</si>
  <si>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</si>
  <si>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</si>
  <si>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</si>
  <si>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</si>
  <si>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</si>
  <si>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</si>
  <si>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</si>
  <si>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</si>
  <si>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</si>
  <si>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</si>
  <si>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</si>
  <si>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</si>
  <si>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</si>
  <si>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</si>
  <si>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</si>
  <si>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</si>
  <si>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</si>
  <si>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</si>
  <si>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</si>
  <si>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</si>
  <si>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</si>
  <si>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</si>
  <si>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</si>
  <si>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</si>
  <si>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</si>
  <si>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</si>
  <si>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</si>
  <si>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</si>
  <si>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</si>
  <si>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</si>
  <si>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</si>
  <si>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</si>
  <si>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</si>
  <si>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</si>
  <si>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</si>
  <si>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</si>
  <si>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</si>
  <si>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</si>
  <si>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</si>
  <si>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</si>
  <si>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</si>
  <si>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</si>
  <si>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</si>
  <si>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</si>
  <si>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</si>
  <si>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</si>
  <si>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</si>
  <si>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</si>
  <si>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</si>
  <si>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</si>
  <si>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</si>
  <si>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</si>
  <si>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</si>
  <si>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</si>
  <si>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</si>
  <si>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</si>
  <si>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</si>
  <si>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</si>
  <si>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</si>
  <si>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</si>
  <si>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</si>
  <si>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</si>
  <si>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</si>
  <si>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</si>
  <si>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</si>
  <si>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</si>
  <si>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</si>
  <si>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</si>
  <si>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</si>
  <si>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</si>
  <si>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</si>
  <si>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</si>
  <si>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</si>
  <si>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</si>
  <si>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</si>
  <si>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</si>
  <si>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</si>
  <si>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</si>
  <si>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</si>
  <si>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</si>
  <si>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</si>
  <si>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</si>
  <si>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</si>
  <si>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</si>
  <si>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</si>
  <si>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</si>
  <si>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</si>
  <si>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</si>
  <si>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</si>
  <si>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</si>
  <si>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</si>
  <si>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</si>
  <si>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</si>
  <si>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</si>
  <si>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</si>
  <si>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</si>
  <si>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</si>
  <si>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</si>
  <si>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</si>
  <si>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</si>
  <si>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</si>
  <si>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</si>
  <si>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</si>
  <si>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</si>
  <si>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</si>
  <si>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</si>
  <si>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</si>
  <si>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</si>
  <si>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</si>
  <si>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</si>
  <si>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</si>
  <si>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</si>
  <si>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</si>
  <si>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</si>
  <si>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</si>
  <si>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</si>
  <si>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</si>
  <si>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</si>
  <si>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</si>
  <si>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</si>
  <si>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</si>
  <si>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</si>
  <si>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</si>
  <si>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</si>
  <si>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</si>
  <si>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</si>
  <si>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</si>
  <si>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</si>
  <si>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</si>
  <si>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</si>
  <si>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</si>
  <si>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</si>
  <si>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</si>
  <si>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</si>
  <si>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</si>
  <si>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</si>
  <si>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</si>
  <si>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</si>
  <si>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</si>
  <si>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</si>
  <si>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</si>
  <si>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</si>
  <si>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</si>
  <si>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</si>
  <si>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</si>
  <si>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</si>
  <si>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</si>
  <si>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</si>
  <si>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</si>
  <si>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</si>
  <si>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</si>
  <si>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</si>
  <si>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</si>
  <si>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</si>
  <si>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</si>
  <si>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</si>
  <si>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</si>
  <si>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</si>
  <si>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</si>
  <si>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</si>
  <si>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</si>
  <si>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</si>
  <si>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</si>
  <si>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</si>
  <si>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</si>
  <si>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</si>
  <si>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</si>
  <si>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</si>
  <si>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</si>
  <si>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</si>
  <si>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</si>
  <si>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</si>
  <si>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</si>
  <si>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</si>
  <si>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</si>
  <si>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</si>
  <si>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</si>
  <si>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</si>
  <si>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</si>
  <si>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</si>
  <si>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</si>
  <si>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</si>
  <si>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</si>
  <si>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</si>
  <si>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</si>
  <si>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</si>
  <si>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</si>
  <si>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</si>
  <si>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</si>
  <si>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</si>
  <si>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</si>
  <si>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</si>
  <si>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</si>
  <si>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</si>
  <si>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</si>
  <si>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</si>
  <si>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</si>
  <si>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</si>
  <si>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</si>
  <si>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</si>
  <si>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</si>
  <si>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</si>
  <si>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</si>
  <si>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</si>
  <si>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</si>
  <si>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</si>
  <si>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</si>
  <si>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</si>
  <si>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</si>
  <si>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</si>
  <si>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</si>
  <si>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</si>
  <si>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</si>
  <si>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</si>
  <si>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</si>
  <si>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</si>
  <si>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</si>
  <si>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</si>
  <si>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</si>
  <si>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</si>
  <si>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</si>
  <si>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</si>
  <si>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</si>
  <si>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</si>
  <si>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</si>
  <si>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</si>
  <si>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</si>
  <si>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</si>
  <si>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</si>
  <si>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</si>
  <si>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</si>
  <si>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</si>
  <si>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</si>
  <si>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</si>
  <si>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</si>
  <si>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</si>
  <si>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</si>
  <si>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</si>
  <si>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</si>
  <si>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</si>
  <si>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</si>
  <si>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</si>
  <si>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</si>
  <si>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</si>
  <si>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</si>
  <si>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</si>
  <si>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</si>
  <si>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</si>
  <si>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</si>
  <si>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</si>
  <si>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</si>
  <si>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</si>
  <si>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</si>
  <si>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</si>
  <si>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</si>
  <si>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</si>
  <si>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</si>
  <si>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</si>
  <si>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</si>
  <si>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</si>
  <si>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</si>
  <si>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</si>
  <si>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</si>
  <si>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</si>
  <si>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</si>
  <si>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</si>
  <si>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</si>
  <si>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</si>
  <si>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</si>
  <si>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</si>
  <si>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</si>
  <si>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</si>
  <si>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</si>
  <si>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</si>
  <si>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</si>
  <si>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</si>
  <si>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</si>
  <si>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</si>
  <si>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</si>
  <si>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</si>
  <si>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</si>
  <si>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</si>
  <si>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</si>
  <si>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</si>
  <si>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</si>
  <si>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</si>
  <si>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</si>
  <si>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</si>
  <si>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</si>
  <si>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</si>
  <si>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</si>
  <si>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</si>
  <si>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</si>
  <si>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</si>
  <si>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</si>
  <si>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</si>
  <si>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</si>
  <si>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</si>
  <si>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</si>
  <si>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</si>
  <si>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</si>
  <si>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</si>
  <si>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</si>
  <si>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</si>
  <si>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</si>
  <si>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</si>
  <si>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</si>
  <si>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</si>
  <si>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</si>
  <si>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</si>
  <si>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</si>
  <si>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</si>
  <si>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</si>
  <si>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</si>
  <si>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</si>
  <si>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</si>
  <si>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</si>
  <si>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</si>
  <si>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</si>
  <si>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</si>
  <si>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</si>
  <si>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</si>
  <si>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</si>
  <si>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</si>
  <si>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</si>
  <si>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</si>
  <si>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</si>
  <si>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</si>
  <si>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</si>
  <si>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</si>
  <si>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</si>
  <si>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</si>
  <si>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</si>
  <si>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</si>
  <si>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</si>
  <si>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</si>
  <si>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</si>
  <si>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</si>
  <si>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</si>
  <si>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</si>
  <si>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</si>
  <si>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</si>
  <si>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</si>
  <si>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</si>
  <si>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</si>
  <si>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</si>
  <si>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</si>
  <si>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</si>
  <si>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</si>
  <si>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</si>
  <si>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</si>
  <si>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</si>
  <si>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</si>
  <si>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</si>
  <si>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</si>
  <si>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</si>
  <si>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</si>
  <si>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</si>
  <si>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</si>
  <si>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</si>
  <si>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</si>
  <si>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</si>
  <si>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</si>
  <si>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</si>
  <si>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</si>
  <si>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</si>
  <si>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</si>
  <si>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</si>
  <si>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</si>
  <si>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</si>
  <si>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</si>
  <si>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</si>
  <si>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</si>
  <si>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</si>
  <si>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</si>
  <si>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</si>
  <si>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</si>
  <si>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</si>
  <si>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</si>
  <si>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</si>
  <si>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</si>
  <si>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</si>
  <si>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</si>
  <si>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</si>
  <si>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</si>
  <si>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</si>
  <si>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</si>
  <si>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</si>
  <si>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</si>
  <si>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</si>
  <si>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</si>
  <si>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</si>
  <si>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</si>
  <si>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</si>
  <si>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</si>
  <si>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</si>
  <si>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</si>
  <si>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</si>
  <si>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</si>
  <si>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</si>
  <si>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</si>
  <si>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</si>
  <si>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</si>
  <si>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</si>
  <si>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</si>
  <si>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</si>
  <si>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</si>
  <si>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</si>
  <si>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</si>
  <si>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</si>
  <si>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</si>
  <si>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</si>
  <si>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</si>
  <si>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</si>
  <si>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</si>
  <si>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</si>
  <si>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</si>
  <si>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</si>
  <si>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</si>
  <si>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</si>
  <si>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</si>
  <si>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</si>
  <si>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</si>
  <si>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</si>
  <si>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</si>
  <si>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</si>
  <si>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</si>
  <si>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</si>
  <si>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</si>
  <si>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</si>
  <si>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</si>
  <si>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</si>
  <si>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</si>
  <si>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</si>
  <si>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</si>
  <si>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</si>
  <si>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</si>
  <si>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</si>
  <si>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</si>
  <si>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</si>
  <si>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</si>
  <si>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</si>
  <si>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</si>
  <si>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</si>
  <si>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</si>
  <si>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</si>
  <si>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</si>
  <si>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</si>
  <si>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</si>
  <si>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</si>
  <si>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</si>
  <si>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</si>
  <si>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</si>
  <si>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</si>
  <si>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</si>
  <si>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</si>
  <si>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</si>
  <si>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</si>
  <si>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</si>
  <si>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</si>
  <si>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</si>
  <si>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</si>
  <si>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</si>
  <si>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</si>
  <si>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</si>
  <si>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</si>
  <si>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</si>
  <si>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</si>
  <si>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</si>
  <si>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</si>
  <si>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</si>
  <si>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</si>
  <si>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</si>
  <si>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</si>
  <si>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</si>
  <si>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</si>
  <si>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</si>
  <si>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</si>
  <si>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</si>
  <si>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</si>
  <si>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</si>
  <si>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</si>
  <si>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</si>
  <si>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</si>
  <si>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</si>
  <si>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</si>
  <si>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</si>
  <si>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</si>
  <si>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</si>
  <si>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</si>
  <si>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</si>
  <si>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</si>
  <si>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</si>
  <si>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</si>
  <si>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</si>
  <si>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</si>
  <si>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</si>
  <si>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</si>
  <si>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</si>
  <si>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</si>
  <si>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</si>
  <si>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</si>
  <si>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</si>
  <si>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</si>
  <si>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</si>
  <si>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</si>
  <si>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</si>
  <si>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</si>
  <si>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</si>
  <si>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</si>
  <si>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</si>
  <si>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</si>
  <si>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</si>
  <si>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</si>
  <si>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</si>
  <si>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</si>
  <si>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</si>
  <si>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</si>
  <si>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</si>
  <si>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</si>
  <si>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</si>
  <si>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</si>
  <si>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</si>
  <si>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</si>
  <si>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</si>
  <si>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</si>
  <si>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</si>
  <si>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</si>
  <si>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</si>
  <si>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</si>
  <si>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</si>
  <si>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</si>
  <si>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</si>
  <si>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</si>
  <si>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</si>
  <si>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</si>
  <si>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</si>
  <si>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</si>
  <si>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</si>
  <si>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</si>
  <si>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</si>
  <si>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</si>
  <si>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</si>
  <si>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</si>
  <si>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</si>
  <si>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</si>
  <si>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</si>
  <si>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</si>
  <si>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</si>
  <si>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</si>
  <si>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</si>
  <si>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</si>
  <si>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</si>
  <si>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</si>
  <si>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</si>
  <si>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</si>
  <si>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</si>
  <si>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</si>
  <si>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</si>
  <si>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</si>
  <si>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</si>
  <si>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</si>
  <si>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</si>
  <si>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</si>
  <si>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</si>
  <si>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</si>
  <si>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</si>
  <si>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</si>
  <si>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</si>
  <si>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</si>
  <si>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</si>
  <si>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</si>
  <si>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</si>
  <si>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</si>
  <si>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</si>
  <si>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</si>
  <si>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</si>
  <si>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</si>
  <si>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</si>
  <si>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</si>
  <si>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</si>
  <si>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</si>
  <si>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</si>
  <si>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</si>
  <si>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</si>
  <si>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</si>
  <si>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</si>
  <si>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</si>
  <si>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</si>
  <si>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</si>
  <si>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</si>
  <si>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</si>
  <si>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</si>
  <si>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</si>
  <si>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</si>
  <si>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</si>
  <si>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</si>
  <si>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</si>
  <si>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</si>
  <si>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</si>
  <si>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</si>
  <si>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</si>
  <si>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</si>
  <si>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</si>
  <si>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</si>
  <si>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</si>
  <si>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</si>
  <si>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</si>
  <si>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</si>
  <si>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</si>
  <si>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</si>
  <si>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</si>
  <si>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</si>
  <si>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</si>
  <si>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</si>
  <si>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</si>
  <si>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</si>
  <si>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</si>
  <si>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</si>
  <si>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</si>
  <si>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</si>
  <si>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</si>
  <si>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</si>
  <si>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</si>
  <si>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</si>
  <si>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</si>
  <si>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</si>
  <si>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</si>
  <si>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</si>
  <si>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</si>
  <si>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</si>
  <si>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</si>
  <si>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</si>
  <si>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</si>
  <si>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</si>
  <si>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</si>
  <si>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</si>
  <si>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</si>
  <si>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</si>
  <si>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</si>
  <si>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</si>
  <si>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</si>
  <si>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</si>
  <si>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</si>
  <si>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</si>
  <si>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</si>
  <si>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</si>
  <si>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</si>
  <si>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</si>
  <si>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</si>
  <si>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</si>
  <si>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</si>
  <si>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</si>
  <si>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</si>
  <si>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</si>
  <si>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</si>
  <si>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</si>
  <si>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</si>
  <si>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</si>
  <si>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</si>
  <si>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</si>
  <si>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</si>
  <si>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</si>
  <si>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</si>
  <si>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</si>
  <si>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</si>
  <si>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</si>
  <si>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</si>
  <si>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</si>
  <si>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</si>
  <si>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</si>
  <si>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</si>
  <si>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</si>
  <si>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</si>
  <si>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</si>
  <si>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</si>
  <si>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</si>
  <si>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</si>
  <si>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</si>
  <si>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</si>
  <si>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</si>
  <si>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</si>
  <si>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</si>
  <si>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</si>
  <si>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</si>
  <si>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</si>
  <si>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</si>
  <si>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</si>
  <si>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</si>
  <si>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</si>
  <si>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</si>
  <si>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</si>
  <si>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</si>
  <si>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</si>
  <si>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</si>
  <si>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</si>
  <si>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</si>
  <si>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</si>
  <si>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</si>
  <si>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</si>
  <si>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</si>
  <si>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</si>
  <si>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</si>
  <si>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</si>
  <si>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</si>
  <si>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</si>
  <si>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</si>
  <si>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</si>
  <si>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</si>
  <si>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</si>
  <si>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</si>
  <si>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</si>
  <si>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</si>
  <si>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</si>
  <si>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</si>
  <si>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</si>
  <si>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</si>
  <si>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</si>
  <si>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</si>
  <si>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</si>
  <si>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</si>
  <si>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</si>
  <si>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</si>
  <si>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</si>
  <si>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</si>
  <si>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</si>
  <si>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</si>
  <si>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</si>
  <si>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</si>
  <si>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</si>
  <si>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</si>
  <si>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</si>
  <si>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</si>
  <si>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</si>
  <si>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</si>
  <si>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</si>
  <si>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</si>
  <si>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</si>
  <si>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</si>
  <si>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</si>
  <si>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</si>
  <si>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</si>
  <si>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</si>
  <si>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</si>
  <si>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</si>
  <si>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</si>
  <si>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</si>
  <si>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</si>
  <si>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</si>
  <si>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</si>
  <si>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</si>
  <si>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</si>
  <si>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</si>
  <si>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</si>
  <si>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</si>
  <si>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</si>
  <si>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</si>
  <si>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</si>
  <si>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</si>
  <si>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</si>
  <si>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</si>
  <si>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</si>
  <si>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</si>
  <si>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</si>
  <si>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</si>
  <si>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</si>
  <si>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</si>
  <si>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</si>
  <si>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</si>
  <si>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</si>
  <si>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</si>
  <si>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</si>
  <si>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</si>
  <si>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</si>
  <si>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</si>
  <si>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</si>
  <si>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</si>
  <si>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</si>
  <si>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</si>
  <si>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</si>
  <si>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</si>
  <si>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</si>
  <si>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</si>
  <si>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</si>
  <si>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</si>
  <si>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</si>
  <si>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</si>
  <si>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</si>
  <si>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</si>
  <si>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</si>
  <si>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</si>
  <si>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</si>
  <si>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</si>
  <si>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</si>
  <si>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</si>
  <si>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</si>
  <si>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</si>
  <si>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</si>
  <si>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</si>
  <si>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</si>
  <si>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</si>
  <si>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</si>
  <si>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</si>
  <si>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</si>
  <si>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</si>
  <si>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</si>
  <si>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</si>
  <si>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</si>
  <si>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</si>
  <si>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</si>
  <si>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</si>
  <si>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</si>
  <si>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</si>
  <si>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</si>
  <si>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</si>
  <si>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</si>
  <si>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</si>
  <si>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</si>
  <si>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</si>
  <si>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</si>
  <si>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</si>
  <si>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</si>
  <si>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</si>
  <si>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</si>
  <si>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</si>
  <si>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</si>
  <si>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</si>
  <si>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</si>
  <si>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</si>
  <si>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</si>
  <si>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</si>
  <si>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</si>
  <si>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</si>
  <si>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</si>
  <si>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</si>
  <si>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</si>
  <si>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</si>
  <si>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</si>
  <si>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</si>
  <si>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</si>
  <si>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</si>
  <si>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</si>
  <si>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</si>
  <si>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</si>
  <si>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</si>
  <si>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</si>
  <si>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</si>
  <si>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</si>
  <si>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</si>
  <si>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</si>
  <si>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</si>
  <si>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</si>
  <si>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</si>
  <si>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</si>
  <si>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</si>
  <si>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</si>
  <si>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</si>
  <si>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</si>
  <si>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</si>
  <si>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</si>
  <si>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</si>
  <si>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</si>
  <si>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</si>
  <si>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</si>
  <si>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</si>
  <si>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</si>
  <si>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</si>
  <si>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</si>
  <si>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</si>
  <si>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</si>
  <si>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</si>
  <si>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</si>
  <si>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</si>
  <si>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</si>
  <si>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</si>
  <si>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</si>
  <si>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</si>
  <si>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</si>
  <si>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</si>
  <si>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</si>
  <si>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</si>
  <si>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</si>
  <si>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</si>
  <si>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</si>
  <si>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</si>
  <si>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</si>
  <si>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</si>
  <si>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</si>
  <si>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</si>
  <si>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</si>
  <si>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</si>
  <si>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</si>
  <si>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</si>
  <si>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</si>
  <si>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</si>
  <si>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</si>
  <si>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</si>
  <si>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</si>
  <si>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</si>
  <si>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</si>
  <si>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</si>
  <si>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</si>
  <si>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</si>
  <si>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</si>
  <si>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</si>
  <si>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</si>
  <si>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</si>
  <si>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</si>
  <si>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</si>
  <si>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</si>
  <si>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</si>
  <si>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</si>
  <si>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</si>
  <si>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</si>
  <si>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</si>
  <si>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</si>
  <si>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</si>
  <si>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</si>
  <si>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</si>
  <si>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</si>
  <si>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</si>
  <si>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</si>
  <si>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</si>
  <si>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</si>
  <si>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</si>
  <si>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</si>
  <si>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</si>
  <si>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</si>
  <si>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</si>
  <si>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</si>
  <si>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</si>
  <si>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</si>
  <si>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</si>
  <si>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</si>
  <si>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</si>
  <si>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</si>
  <si>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</si>
  <si>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</si>
  <si>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</si>
  <si>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</si>
  <si>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</si>
  <si>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</si>
  <si>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</si>
  <si>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</si>
  <si>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</si>
  <si>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</si>
  <si>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</si>
  <si>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</si>
  <si>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</si>
  <si>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</si>
  <si>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</si>
  <si>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</si>
  <si>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</si>
  <si>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</si>
  <si>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</si>
  <si>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</si>
  <si>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</si>
  <si>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</si>
  <si>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</si>
  <si>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</si>
  <si>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</si>
  <si>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</si>
  <si>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</si>
  <si>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</si>
  <si>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</si>
  <si>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</si>
  <si>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</si>
  <si>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</si>
  <si>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</si>
  <si>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</si>
  <si>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</si>
  <si>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</si>
  <si>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</si>
  <si>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</si>
  <si>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</si>
  <si>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</si>
  <si>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</si>
  <si>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</si>
  <si>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</si>
  <si>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</si>
  <si>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</si>
  <si>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</si>
  <si>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</si>
  <si>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</si>
  <si>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</si>
  <si>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</si>
  <si>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</si>
  <si>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</si>
  <si>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</si>
  <si>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</si>
  <si>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</si>
  <si>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</si>
  <si>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</si>
  <si>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</si>
  <si>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</si>
  <si>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</si>
  <si>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</si>
  <si>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</si>
  <si>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</si>
  <si>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</si>
  <si>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</si>
  <si>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</si>
  <si>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</si>
  <si>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</si>
  <si>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</si>
  <si>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</si>
  <si>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</si>
  <si>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</si>
  <si>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</si>
  <si>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</si>
  <si>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</si>
  <si>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</si>
  <si>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</si>
  <si>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</si>
  <si>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</si>
  <si>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</si>
  <si>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</si>
  <si>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</si>
  <si>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</si>
  <si>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</si>
  <si>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</si>
  <si>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</si>
  <si>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</si>
  <si>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</si>
  <si>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</si>
  <si>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</si>
  <si>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</si>
  <si>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</si>
  <si>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</si>
  <si>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</si>
  <si>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</si>
  <si>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</si>
  <si>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</si>
  <si>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</si>
  <si>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</si>
  <si>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</si>
  <si>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</si>
  <si>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</si>
  <si>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</si>
  <si>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</si>
  <si>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</si>
  <si>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</si>
  <si>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</si>
  <si>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</si>
  <si>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</si>
  <si>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</si>
  <si>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</si>
  <si>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</si>
  <si>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</si>
  <si>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</si>
  <si>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</si>
  <si>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</si>
  <si>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</si>
  <si>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</si>
  <si>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</si>
  <si>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</si>
  <si>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</si>
  <si>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</si>
  <si>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</si>
  <si>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</si>
  <si>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</si>
  <si>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</si>
  <si>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</si>
  <si>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</si>
  <si>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</si>
  <si>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</si>
  <si>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</si>
  <si>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</si>
  <si>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</si>
  <si>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</si>
  <si>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</si>
  <si>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</si>
  <si>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</si>
  <si>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</si>
  <si>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</si>
  <si>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</si>
  <si>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</si>
  <si>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</si>
  <si>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</si>
  <si>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</si>
  <si>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</si>
  <si>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</si>
  <si>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</si>
  <si>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</si>
  <si>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</si>
  <si>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</si>
  <si>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</si>
  <si>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</si>
  <si>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</si>
  <si>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</si>
  <si>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</si>
  <si>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</si>
  <si>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</si>
  <si>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</si>
  <si>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</si>
  <si>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</si>
  <si>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</si>
  <si>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</si>
  <si>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</si>
  <si>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</si>
  <si>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</si>
  <si>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</si>
  <si>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</si>
  <si>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</si>
  <si>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</si>
  <si>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</si>
  <si>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</si>
  <si>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</si>
  <si>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</si>
  <si>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</si>
  <si>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</si>
  <si>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</si>
  <si>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</si>
  <si>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</si>
  <si>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</si>
  <si>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</si>
  <si>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</si>
  <si>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</si>
  <si>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</si>
  <si>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</si>
  <si>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</si>
  <si>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</si>
  <si>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</si>
  <si>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</si>
  <si>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</si>
  <si>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</si>
  <si>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</si>
  <si>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</si>
  <si>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</si>
  <si>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</si>
  <si>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</si>
  <si>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</si>
  <si>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</si>
  <si>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</si>
  <si>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</si>
  <si>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</si>
  <si>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</si>
  <si>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</si>
  <si>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</si>
  <si>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</si>
  <si>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</si>
  <si>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</si>
  <si>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</si>
  <si>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</si>
  <si>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</si>
  <si>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</si>
  <si>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</si>
  <si>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</si>
  <si>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</si>
  <si>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</si>
  <si>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</si>
  <si>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</si>
  <si>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</si>
  <si>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</si>
  <si>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</si>
  <si>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</si>
  <si>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</si>
  <si>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</si>
  <si>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</si>
  <si>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</si>
  <si>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</si>
  <si>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</si>
  <si>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</si>
  <si>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</si>
  <si>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</si>
  <si>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</si>
  <si>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</si>
  <si>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</si>
  <si>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</si>
  <si>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</si>
  <si>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</si>
  <si>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</si>
  <si>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</si>
  <si>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</si>
  <si>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</si>
  <si>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</si>
  <si>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</si>
  <si>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</si>
  <si>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</si>
  <si>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</si>
  <si>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</si>
  <si>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</si>
  <si>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</si>
  <si>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</si>
  <si>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</si>
  <si>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</si>
  <si>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</si>
  <si>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</si>
  <si>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</si>
  <si>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</si>
  <si>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</si>
  <si>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</si>
  <si>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</si>
  <si>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</si>
  <si>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</si>
  <si>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</si>
  <si>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</si>
  <si>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</si>
  <si>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</si>
  <si>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</si>
  <si>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</si>
  <si>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</si>
  <si>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</si>
  <si>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</si>
  <si>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</si>
  <si>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</si>
  <si>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</si>
  <si>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</si>
  <si>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</si>
  <si>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</si>
  <si>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</si>
  <si>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</si>
  <si>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</si>
  <si>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</si>
  <si>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</si>
  <si>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</si>
  <si>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</si>
  <si>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</si>
  <si>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</si>
  <si>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</si>
  <si>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</si>
  <si>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</si>
  <si>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</si>
  <si>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</si>
  <si>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</si>
  <si>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</si>
  <si>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</si>
  <si>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</si>
  <si>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</si>
  <si>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</si>
  <si>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</si>
  <si>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</si>
  <si>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</si>
  <si>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</si>
  <si>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</si>
  <si>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</si>
  <si>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</si>
  <si>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</si>
  <si>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</si>
  <si>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</si>
  <si>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</si>
  <si>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</si>
  <si>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</si>
  <si>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</si>
  <si>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</si>
  <si>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</si>
  <si>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</si>
  <si>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</si>
  <si>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</si>
  <si>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</si>
  <si>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</si>
  <si>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</si>
  <si>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</si>
  <si>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</si>
  <si>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</si>
  <si>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</si>
  <si>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</si>
  <si>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</si>
  <si>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</si>
  <si>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</si>
  <si>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</si>
  <si>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</si>
  <si>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</si>
  <si>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</si>
  <si>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</si>
  <si>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</si>
  <si>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</si>
  <si>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</si>
  <si>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</si>
  <si>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</si>
  <si>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</si>
  <si>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</si>
  <si>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</si>
  <si>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</si>
  <si>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</si>
  <si>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</si>
  <si>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</si>
  <si>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</si>
  <si>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</si>
  <si>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</si>
  <si>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</si>
  <si>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</si>
  <si>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</si>
  <si>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</si>
  <si>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</si>
  <si>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</si>
  <si>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</si>
  <si>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</si>
  <si>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</si>
  <si>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</si>
  <si>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</si>
  <si>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</si>
  <si>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</si>
  <si>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</si>
  <si>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</si>
  <si>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</si>
  <si>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</si>
  <si>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</si>
  <si>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</si>
  <si>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</si>
  <si>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</si>
  <si>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</si>
  <si>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</si>
  <si>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</si>
  <si>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</si>
  <si>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</si>
  <si>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</si>
  <si>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</si>
  <si>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</si>
  <si>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</si>
  <si>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</si>
  <si>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</si>
  <si>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</si>
  <si>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</si>
  <si>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</si>
  <si>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</si>
  <si>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</si>
  <si>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</si>
  <si>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</si>
  <si>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</si>
  <si>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</si>
  <si>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</si>
  <si>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</si>
  <si>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</si>
  <si>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</si>
  <si>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</si>
  <si>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</si>
  <si>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</si>
  <si>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</si>
  <si>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</si>
  <si>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</si>
  <si>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</si>
  <si>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</si>
  <si>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</si>
  <si>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</si>
  <si>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</si>
  <si>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</si>
  <si>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</si>
  <si>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</si>
  <si>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</si>
  <si>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</si>
  <si>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</si>
  <si>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</si>
  <si>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</si>
  <si>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</si>
  <si>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</si>
  <si>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</si>
  <si>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</si>
  <si>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</si>
  <si>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</si>
  <si>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</si>
  <si>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</si>
  <si>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</si>
  <si>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</si>
  <si>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</si>
  <si>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</si>
  <si>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</si>
  <si>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</si>
  <si>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</si>
  <si>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</si>
  <si>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</si>
  <si>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</si>
  <si>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</si>
  <si>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</si>
  <si>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</si>
  <si>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</si>
  <si>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</si>
  <si>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</si>
  <si>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</si>
  <si>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</si>
  <si>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</si>
  <si>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</si>
  <si>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</si>
  <si>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</si>
  <si>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</si>
  <si>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</si>
  <si>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</si>
  <si>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</si>
  <si>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</si>
  <si>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</si>
  <si>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</si>
  <si>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</si>
  <si>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</si>
  <si>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</si>
  <si>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</si>
  <si>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</si>
  <si>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</si>
  <si>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</si>
  <si>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</si>
  <si>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</si>
  <si>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</si>
  <si>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</si>
  <si>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</si>
  <si>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</si>
  <si>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</si>
  <si>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</si>
  <si>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</si>
  <si>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</si>
  <si>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</si>
  <si>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</si>
  <si>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</si>
  <si>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</si>
  <si>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</si>
  <si>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</si>
  <si>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</si>
  <si>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</si>
  <si>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</si>
  <si>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</si>
  <si>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</si>
  <si>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</si>
  <si>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</si>
  <si>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</si>
  <si>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</si>
  <si>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</si>
  <si>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</si>
  <si>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</si>
  <si>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</si>
  <si>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</si>
  <si>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</si>
  <si>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</si>
  <si>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</si>
  <si>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</si>
  <si>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</si>
  <si>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</si>
  <si>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</si>
  <si>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</si>
  <si>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</si>
  <si>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</si>
  <si>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</si>
  <si>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</si>
  <si>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</si>
  <si>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</si>
  <si>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</si>
  <si>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</si>
  <si>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</si>
  <si>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</si>
  <si>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</si>
  <si>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</si>
  <si>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</si>
  <si>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</si>
  <si>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</si>
  <si>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</si>
  <si>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</si>
  <si>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</si>
  <si>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</si>
  <si>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</si>
  <si>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</si>
  <si>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</si>
  <si>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</si>
  <si>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</si>
  <si>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</si>
  <si>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</si>
  <si>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</si>
  <si>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</si>
  <si>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</si>
  <si>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</si>
  <si>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</si>
  <si>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</si>
  <si>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</si>
  <si>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</si>
  <si>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</si>
  <si>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</si>
  <si>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</si>
  <si>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</si>
  <si>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</si>
  <si>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</si>
  <si>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</si>
  <si>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</si>
  <si>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</si>
  <si>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</si>
  <si>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</si>
  <si>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</si>
  <si>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</si>
  <si>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</si>
  <si>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</si>
  <si>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</si>
  <si>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</si>
  <si>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</si>
  <si>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</si>
  <si>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</si>
  <si>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</si>
  <si>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</si>
  <si>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</si>
  <si>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</si>
  <si>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</si>
  <si>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</si>
  <si>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</si>
  <si>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</si>
  <si>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</si>
  <si>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</si>
  <si>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</si>
  <si>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</si>
  <si>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</si>
  <si>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</si>
  <si>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</si>
  <si>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</si>
  <si>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</si>
  <si>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</si>
  <si>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</si>
  <si>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</si>
  <si>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</si>
  <si>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</si>
  <si>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</si>
  <si>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</si>
  <si>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</si>
  <si>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</si>
  <si>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</si>
  <si>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</si>
  <si>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</si>
  <si>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</si>
  <si>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</si>
  <si>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</si>
  <si>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</si>
  <si>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</si>
  <si>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</si>
  <si>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</si>
  <si>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</si>
  <si>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</si>
  <si>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</si>
  <si>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</si>
  <si>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</si>
  <si>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</si>
  <si>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</si>
  <si>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</si>
  <si>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</si>
  <si>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</si>
  <si>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</si>
  <si>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</si>
  <si>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</si>
  <si>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</si>
  <si>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</si>
  <si>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</si>
  <si>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</si>
  <si>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</si>
  <si>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</si>
  <si>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</si>
  <si>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</si>
  <si>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</si>
  <si>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</si>
  <si>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</si>
  <si>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</si>
  <si>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</si>
  <si>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</si>
  <si>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</si>
  <si>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</si>
  <si>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</si>
  <si>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</si>
  <si>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</si>
  <si>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</si>
  <si>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</si>
  <si>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</si>
  <si>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</si>
  <si>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</si>
  <si>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</si>
  <si>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</si>
  <si>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</si>
  <si>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</si>
  <si>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</si>
  <si>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</si>
  <si>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</si>
  <si>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</si>
  <si>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</si>
  <si>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</si>
  <si>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</si>
  <si>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</si>
  <si>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</si>
  <si>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</si>
  <si>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</si>
  <si>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</si>
  <si>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</si>
  <si>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</si>
  <si>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</si>
  <si>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</si>
  <si>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</si>
  <si>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</si>
  <si>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</si>
  <si>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</si>
  <si>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</si>
  <si>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</si>
  <si>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</si>
  <si>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</si>
  <si>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</si>
  <si>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</si>
  <si>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</si>
  <si>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</si>
  <si>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</si>
  <si>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</si>
  <si>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</si>
  <si>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</si>
  <si>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</si>
  <si>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</si>
  <si>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</si>
  <si>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</si>
  <si>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</si>
  <si>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</si>
  <si>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</si>
  <si>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</si>
  <si>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</si>
  <si>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</si>
  <si>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</si>
  <si>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</si>
  <si>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</si>
  <si>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</si>
  <si>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</si>
  <si>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</si>
  <si>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</si>
  <si>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</si>
  <si>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</si>
  <si>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</si>
  <si>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</si>
  <si>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</si>
  <si>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</si>
  <si>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</si>
  <si>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</si>
  <si>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</si>
  <si>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</si>
  <si>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</si>
  <si>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</si>
  <si>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</si>
  <si>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</si>
  <si>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</si>
  <si>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</si>
  <si>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</si>
  <si>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</si>
  <si>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</si>
  <si>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</si>
  <si>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</si>
  <si>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</si>
  <si>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</si>
  <si>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</si>
  <si>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</si>
  <si>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</si>
  <si>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</si>
  <si>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</si>
  <si>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</si>
  <si>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</si>
  <si>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</si>
  <si>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</si>
  <si>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</si>
  <si>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</si>
  <si>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</si>
  <si>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</si>
  <si>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</si>
  <si>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</si>
  <si>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</si>
  <si>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</si>
  <si>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</si>
  <si>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</si>
  <si>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</si>
  <si>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</si>
  <si>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</si>
  <si>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</si>
  <si>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</si>
  <si>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</si>
  <si>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</si>
  <si>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</si>
  <si>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</si>
  <si>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</si>
  <si>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</si>
  <si>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</si>
  <si>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</si>
  <si>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</si>
  <si>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</si>
  <si>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</si>
  <si>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</si>
  <si>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</si>
  <si>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</si>
  <si>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</si>
  <si>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</si>
  <si>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</si>
  <si>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</si>
  <si>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</si>
  <si>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</si>
  <si>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</si>
  <si>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</si>
  <si>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</si>
  <si>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</si>
  <si>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</si>
  <si>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</si>
  <si>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</si>
  <si>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</si>
  <si>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</si>
  <si>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</si>
  <si>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</si>
  <si>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</si>
  <si>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</si>
  <si>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</si>
  <si>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</si>
  <si>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</si>
  <si>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</si>
  <si>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</si>
  <si>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</si>
  <si>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</si>
  <si>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</si>
  <si>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</si>
  <si>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</si>
  <si>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</si>
  <si>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</si>
  <si>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</si>
  <si>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</si>
  <si>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</si>
  <si>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</si>
  <si>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</si>
  <si>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</si>
  <si>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</si>
  <si>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</si>
  <si>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</si>
  <si>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</si>
  <si>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</si>
  <si>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</si>
  <si>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</si>
  <si>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</si>
  <si>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</si>
  <si>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</si>
  <si>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</si>
  <si>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</si>
  <si>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</si>
  <si>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</si>
  <si>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</si>
  <si>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</si>
  <si>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</si>
  <si>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</si>
  <si>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</si>
  <si>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</si>
  <si>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</si>
  <si>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</si>
  <si>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</si>
  <si>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</si>
  <si>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</si>
  <si>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</si>
  <si>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</si>
  <si>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</si>
  <si>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</si>
  <si>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</si>
  <si>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</si>
  <si>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</si>
  <si>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</si>
  <si>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</si>
  <si>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</si>
  <si>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</si>
  <si>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</si>
  <si>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</si>
  <si>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</si>
  <si>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</si>
  <si>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</si>
  <si>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</si>
  <si>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</si>
  <si>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</si>
  <si>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</si>
  <si>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</si>
  <si>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</si>
  <si>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</si>
  <si>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</si>
  <si>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</si>
  <si>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</si>
  <si>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</si>
  <si>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</si>
  <si>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</si>
  <si>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</si>
  <si>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</si>
  <si>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</si>
  <si>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</si>
  <si>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</si>
  <si>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</si>
  <si>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</si>
  <si>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</si>
  <si>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</si>
  <si>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</si>
  <si>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</si>
  <si>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</si>
  <si>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</si>
  <si>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</si>
  <si>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</si>
  <si>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</si>
  <si>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</si>
  <si>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</si>
  <si>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</si>
  <si>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</si>
  <si>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</si>
  <si>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</si>
  <si>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</si>
  <si>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</si>
  <si>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</si>
  <si>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</si>
  <si>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</si>
  <si>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</si>
  <si>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</si>
  <si>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</si>
  <si>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</si>
  <si>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</si>
  <si>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</si>
  <si>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</si>
  <si>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</si>
  <si>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</si>
  <si>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</si>
  <si>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</si>
  <si>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</si>
  <si>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</si>
  <si>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</si>
  <si>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</si>
  <si>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</si>
  <si>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</si>
  <si>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</si>
  <si>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</si>
  <si>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</si>
  <si>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</si>
  <si>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</si>
  <si>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</si>
  <si>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</si>
  <si>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</si>
  <si>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</si>
  <si>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</si>
  <si>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</si>
  <si>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</si>
  <si>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</si>
  <si>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</si>
  <si>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</si>
  <si>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</si>
  <si>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</si>
  <si>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</si>
  <si>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</si>
  <si>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</si>
  <si>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</si>
  <si>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</si>
  <si>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</si>
  <si>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</si>
  <si>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</si>
  <si>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</si>
  <si>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</si>
  <si>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</si>
  <si>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</si>
  <si>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</si>
  <si>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</si>
  <si>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</si>
  <si>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</si>
  <si>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</si>
  <si>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</si>
  <si>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</si>
  <si>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</si>
  <si>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</si>
  <si>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</si>
  <si>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</si>
  <si>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</si>
  <si>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</si>
  <si>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</si>
  <si>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</si>
  <si>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</si>
  <si>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</si>
  <si>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</si>
  <si>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</si>
  <si>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</si>
  <si>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</si>
  <si>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</si>
  <si>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</si>
  <si>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</si>
  <si>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</si>
  <si>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</si>
  <si>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</si>
  <si>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</si>
  <si>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</si>
  <si>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</si>
  <si>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</si>
  <si>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</si>
  <si>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</si>
  <si>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</si>
  <si>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</si>
  <si>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</si>
  <si>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</si>
  <si>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</si>
  <si>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</si>
  <si>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</si>
  <si>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</si>
  <si>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</si>
  <si>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</si>
  <si>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</si>
  <si>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</si>
  <si>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</si>
  <si>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</si>
  <si>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</si>
  <si>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</si>
  <si>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</si>
  <si>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</si>
  <si>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</si>
  <si>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</si>
  <si>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</si>
  <si>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</si>
  <si>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</si>
  <si>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</si>
  <si>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</si>
  <si>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</si>
  <si>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</si>
  <si>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</si>
  <si>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</si>
  <si>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</si>
  <si>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</si>
  <si>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</si>
  <si>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</si>
  <si>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</si>
  <si>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</si>
  <si>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</si>
  <si>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</si>
  <si>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</si>
  <si>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</si>
  <si>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</si>
  <si>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</si>
  <si>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</si>
  <si>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</si>
  <si>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</si>
  <si>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</si>
  <si>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</si>
  <si>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</si>
  <si>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</si>
  <si>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</si>
  <si>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</si>
  <si>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</si>
  <si>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</si>
  <si>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</si>
  <si>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</si>
  <si>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</si>
  <si>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</si>
  <si>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</si>
  <si>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</si>
  <si>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</si>
  <si>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</si>
  <si>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</si>
  <si>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</si>
  <si>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</si>
  <si>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</si>
  <si>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</si>
  <si>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</si>
  <si>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</si>
  <si>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</si>
  <si>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</si>
  <si>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</si>
  <si>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</si>
  <si>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</si>
  <si>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</si>
  <si>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</si>
  <si>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</si>
  <si>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</si>
  <si>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</si>
  <si>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</si>
  <si>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</si>
  <si>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</si>
  <si>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</si>
  <si>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</si>
  <si>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</si>
  <si>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</si>
  <si>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</si>
  <si>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</si>
  <si>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</si>
  <si>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</si>
  <si>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</si>
  <si>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</si>
  <si>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</si>
  <si>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</si>
  <si>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</si>
  <si>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</si>
  <si>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</si>
  <si>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</si>
  <si>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</si>
  <si>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</si>
  <si>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</si>
  <si>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</si>
  <si>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</si>
  <si>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</si>
  <si>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</si>
  <si>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</si>
  <si>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</si>
  <si>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</si>
  <si>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</si>
  <si>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</si>
  <si>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</si>
  <si>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</si>
  <si>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</si>
  <si>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</si>
  <si>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</si>
  <si>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</si>
  <si>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</si>
  <si>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</si>
  <si>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</si>
  <si>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</si>
  <si>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</si>
  <si>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</si>
  <si>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</si>
  <si>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</si>
  <si>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</si>
  <si>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</si>
  <si>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</si>
  <si>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</si>
  <si>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</si>
  <si>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</si>
  <si>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</si>
  <si>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</si>
  <si>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</si>
  <si>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</si>
  <si>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</si>
  <si>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</si>
  <si>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</si>
  <si>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</si>
  <si>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</si>
  <si>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</si>
  <si>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</si>
  <si>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</si>
  <si>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</si>
  <si>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</si>
  <si>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</si>
  <si>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</si>
  <si>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</si>
  <si>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</si>
  <si>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</si>
  <si>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</si>
  <si>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</si>
  <si>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</si>
  <si>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</si>
  <si>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</si>
  <si>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</si>
  <si>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</si>
  <si>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</si>
  <si>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</si>
  <si>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</si>
  <si>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</si>
  <si>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</si>
  <si>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</si>
  <si>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</si>
  <si>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</si>
  <si>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</si>
  <si>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</si>
  <si>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</si>
  <si>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</si>
  <si>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</si>
  <si>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</si>
  <si>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</si>
  <si>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</si>
  <si>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</si>
  <si>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</si>
  <si>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</si>
  <si>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</si>
  <si>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</si>
  <si>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</si>
  <si>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</si>
  <si>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</si>
  <si>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</si>
  <si>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</si>
  <si>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</si>
  <si>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</si>
  <si>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</si>
  <si>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</si>
  <si>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</si>
  <si>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</si>
  <si>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</si>
  <si>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</si>
  <si>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</si>
  <si>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</si>
  <si>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</si>
  <si>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</si>
  <si>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</si>
  <si>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</si>
  <si>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</si>
  <si>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</si>
  <si>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</si>
  <si>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</si>
  <si>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</si>
  <si>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</si>
  <si>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</si>
  <si>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</si>
  <si>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</si>
  <si>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</si>
  <si>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</si>
  <si>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</si>
  <si>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</si>
  <si>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</si>
  <si>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</si>
  <si>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</si>
  <si>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</si>
  <si>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</si>
  <si>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</si>
  <si>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</si>
  <si>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</si>
  <si>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</si>
  <si>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</si>
  <si>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</si>
  <si>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</si>
  <si>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</si>
  <si>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</si>
  <si>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</si>
  <si>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</si>
  <si>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</si>
  <si>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</si>
  <si>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</si>
  <si>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</si>
  <si>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</si>
  <si>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</si>
  <si>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</si>
  <si>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</si>
  <si>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</si>
  <si>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</si>
  <si>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</si>
  <si>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</si>
  <si>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</si>
  <si>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</si>
  <si>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</si>
  <si>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</si>
  <si>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</si>
  <si>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</si>
  <si>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</si>
  <si>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</si>
  <si>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</si>
  <si>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</si>
  <si>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</si>
  <si>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</si>
  <si>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</si>
  <si>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</si>
  <si>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</si>
  <si>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</si>
  <si>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</si>
  <si>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</si>
  <si>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</si>
  <si>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</si>
  <si>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</si>
  <si>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</si>
  <si>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</si>
  <si>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</si>
  <si>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</si>
  <si>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</si>
  <si>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</si>
  <si>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</si>
  <si>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</si>
  <si>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</si>
  <si>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</si>
  <si>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</si>
  <si>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</si>
  <si>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</si>
  <si>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</si>
  <si>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</si>
  <si>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</si>
  <si>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</si>
  <si>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</si>
  <si>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</si>
  <si>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</si>
  <si>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</si>
  <si>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</si>
  <si>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</si>
  <si>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</si>
  <si>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</si>
  <si>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</si>
  <si>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</si>
  <si>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</si>
  <si>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</si>
  <si>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</si>
  <si>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</si>
  <si>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</si>
  <si>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</si>
  <si>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</si>
  <si>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</si>
  <si>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</si>
  <si>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</si>
  <si>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</si>
  <si>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</si>
  <si>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</si>
  <si>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</si>
  <si>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</si>
  <si>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</si>
  <si>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</si>
  <si>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</si>
  <si>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</si>
  <si>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</si>
  <si>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</si>
  <si>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</si>
  <si>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</si>
  <si>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</si>
  <si>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</si>
  <si>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</si>
  <si>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</si>
  <si>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</si>
  <si>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</si>
  <si>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</si>
  <si>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</si>
  <si>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</si>
  <si>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</si>
  <si>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</si>
  <si>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</si>
  <si>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</si>
  <si>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</si>
  <si>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</si>
  <si>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</si>
  <si>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</si>
  <si>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</si>
  <si>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</si>
  <si>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</si>
  <si>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</si>
  <si>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</si>
  <si>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</si>
  <si>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</si>
  <si>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</si>
  <si>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</si>
  <si>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</si>
  <si>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</si>
  <si>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</si>
  <si>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</si>
  <si>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</si>
  <si>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</si>
  <si>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</si>
  <si>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</si>
  <si>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</si>
  <si>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</si>
  <si>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</si>
  <si>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</si>
  <si>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</si>
  <si>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</si>
  <si>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</si>
  <si>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</si>
  <si>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</si>
  <si>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</si>
  <si>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</si>
  <si>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</si>
  <si>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</si>
  <si>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</si>
  <si>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</si>
  <si>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</si>
  <si>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</si>
  <si>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</si>
  <si>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</si>
  <si>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</si>
  <si>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</si>
  <si>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</si>
  <si>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</si>
  <si>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</si>
  <si>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</si>
  <si>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</si>
  <si>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</si>
  <si>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</si>
  <si>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</si>
  <si>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</si>
  <si>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</si>
  <si>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</si>
  <si>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</si>
  <si>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</si>
  <si>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</si>
  <si>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</si>
  <si>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</si>
  <si>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</si>
  <si>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</si>
  <si>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</si>
  <si>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</si>
  <si>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</si>
  <si>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</si>
  <si>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</si>
  <si>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</si>
  <si>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</si>
  <si>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</si>
  <si>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</si>
  <si>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</si>
  <si>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</si>
  <si>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</si>
  <si>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</si>
  <si>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</si>
  <si>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</si>
  <si>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</si>
  <si>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</si>
  <si>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</si>
  <si>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</si>
  <si>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</si>
  <si>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</si>
  <si>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</si>
  <si>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</si>
  <si>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</si>
  <si>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</si>
  <si>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</si>
  <si>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</si>
  <si>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</si>
  <si>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</si>
  <si>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</si>
  <si>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</si>
  <si>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</si>
  <si>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</si>
  <si>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</si>
  <si>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</si>
  <si>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</si>
  <si>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</si>
  <si>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</si>
  <si>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</si>
  <si>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</si>
  <si>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</si>
  <si>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</si>
  <si>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</si>
  <si>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</si>
  <si>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</si>
  <si>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</si>
  <si>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</si>
  <si>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</si>
  <si>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</si>
  <si>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</si>
  <si>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</si>
  <si>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</si>
  <si>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</si>
  <si>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</si>
  <si>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</si>
  <si>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</si>
  <si>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</si>
  <si>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</si>
  <si>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</si>
  <si>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</si>
  <si>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</si>
  <si>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</si>
  <si>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</si>
  <si>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</si>
  <si>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</si>
  <si>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</si>
  <si>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</si>
  <si>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</si>
  <si>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</si>
  <si>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</si>
  <si>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</si>
  <si>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</si>
  <si>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</si>
  <si>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</si>
  <si>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</si>
  <si>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</si>
  <si>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</si>
  <si>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</si>
  <si>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</si>
  <si>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</si>
  <si>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</si>
  <si>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</si>
  <si>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</si>
  <si>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</si>
  <si>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</si>
  <si>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</si>
  <si>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</si>
  <si>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</si>
  <si>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</si>
  <si>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</si>
  <si>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</si>
  <si>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</si>
  <si>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</si>
  <si>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</si>
  <si>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</si>
  <si>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</si>
  <si>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</si>
  <si>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</si>
  <si>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</si>
  <si>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</si>
  <si>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</si>
  <si>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</si>
  <si>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</si>
  <si>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</si>
  <si>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</si>
  <si>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</si>
  <si>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</si>
  <si>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</si>
  <si>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</si>
  <si>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</si>
  <si>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</si>
  <si>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</si>
  <si>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</si>
  <si>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</si>
  <si>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</si>
  <si>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</si>
  <si>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</si>
  <si>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</si>
  <si>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</si>
  <si>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</si>
  <si>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</si>
  <si>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</si>
  <si>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</si>
  <si>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</si>
  <si>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</si>
  <si>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</si>
  <si>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</si>
  <si>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</si>
  <si>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</si>
  <si>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</si>
  <si>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</si>
  <si>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</si>
  <si>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</si>
  <si>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</si>
  <si>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</si>
  <si>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</si>
  <si>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</si>
  <si>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</si>
  <si>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</si>
  <si>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</si>
  <si>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</si>
  <si>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</si>
  <si>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</si>
  <si>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</si>
  <si>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</si>
  <si>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</si>
  <si>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</si>
  <si>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</si>
  <si>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</si>
  <si>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</si>
  <si>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</si>
  <si>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</si>
  <si>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</si>
  <si>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</si>
  <si>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</si>
  <si>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</si>
  <si>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</si>
  <si>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</si>
  <si>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</si>
  <si>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</si>
  <si>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</si>
  <si>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</si>
  <si>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</si>
  <si>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</si>
  <si>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</si>
  <si>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</si>
  <si>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</si>
  <si>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</si>
  <si>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</si>
  <si>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</si>
  <si>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</si>
  <si>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</si>
  <si>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</si>
  <si>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</si>
  <si>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</si>
  <si>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</si>
  <si>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</si>
  <si>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</si>
  <si>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</si>
  <si>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</si>
  <si>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</si>
  <si>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</si>
  <si>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</si>
  <si>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</si>
  <si>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</si>
  <si>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</si>
  <si>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</si>
  <si>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</si>
  <si>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</si>
  <si>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</si>
  <si>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</si>
  <si>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</si>
  <si>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</si>
  <si>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</si>
  <si>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</si>
  <si>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</si>
  <si>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</si>
  <si>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</si>
  <si>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</si>
  <si>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</si>
  <si>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</si>
  <si>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</si>
  <si>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</si>
  <si>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</si>
  <si>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</si>
  <si>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</si>
  <si>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</si>
  <si>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</si>
  <si>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</si>
  <si>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</si>
  <si>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</si>
  <si>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</si>
  <si>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</si>
  <si>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</si>
  <si>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</si>
  <si>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</si>
  <si>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</si>
  <si>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</si>
  <si>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</si>
  <si>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</si>
  <si>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</si>
  <si>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</si>
  <si>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</si>
  <si>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</si>
  <si>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</si>
  <si>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</si>
  <si>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</si>
  <si>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</si>
  <si>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</si>
  <si>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</si>
  <si>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</si>
  <si>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</si>
  <si>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</si>
  <si>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</si>
  <si>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</si>
  <si>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</si>
  <si>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</si>
  <si>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</si>
  <si>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</si>
  <si>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</si>
  <si>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</si>
  <si>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</si>
  <si>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</si>
  <si>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</si>
  <si>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</si>
  <si>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</si>
  <si>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</si>
  <si>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</si>
  <si>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</si>
  <si>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</si>
  <si>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</si>
  <si>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</si>
  <si>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</si>
  <si>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</si>
  <si>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</si>
  <si>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</si>
  <si>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</si>
  <si>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</si>
  <si>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</si>
  <si>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</si>
  <si>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</si>
  <si>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</si>
  <si>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</si>
  <si>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</si>
  <si>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</si>
  <si>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</si>
  <si>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</si>
  <si>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</si>
  <si>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</si>
  <si>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</si>
  <si>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</si>
  <si>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</si>
  <si>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</si>
  <si>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</si>
  <si>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</si>
  <si>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</si>
  <si>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</si>
  <si>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</si>
  <si>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</si>
  <si>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</si>
  <si>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</si>
  <si>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</si>
  <si>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</si>
  <si>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</si>
  <si>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</si>
  <si>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</si>
  <si>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</si>
  <si>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</si>
  <si>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</si>
  <si>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</si>
  <si>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</si>
  <si>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</si>
  <si>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</si>
  <si>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</si>
  <si>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</si>
  <si>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</si>
  <si>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</si>
  <si>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</si>
  <si>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</si>
  <si>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</si>
  <si>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</si>
  <si>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</si>
  <si>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</si>
  <si>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</si>
  <si>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</si>
  <si>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</si>
  <si>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</si>
  <si>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</si>
  <si>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</si>
  <si>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</si>
  <si>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</si>
  <si>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</si>
  <si>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</si>
  <si>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</si>
  <si>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</si>
  <si>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</si>
  <si>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</si>
  <si>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</si>
  <si>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</si>
  <si>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</si>
  <si>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</si>
  <si>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</si>
  <si>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</si>
  <si>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</si>
  <si>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</si>
  <si>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</si>
  <si>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</si>
  <si>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</si>
  <si>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</si>
  <si>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</si>
  <si>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</si>
  <si>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</si>
  <si>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</si>
  <si>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</si>
  <si>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</si>
  <si>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</si>
  <si>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</si>
  <si>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</si>
  <si>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</si>
  <si>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</si>
  <si>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</si>
  <si>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</si>
  <si>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</si>
  <si>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</si>
  <si>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</si>
  <si>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</si>
  <si>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</si>
  <si>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</si>
  <si>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</si>
  <si>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</si>
  <si>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</si>
  <si>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</si>
  <si>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</si>
  <si>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</si>
  <si>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</si>
  <si>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</si>
  <si>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</si>
  <si>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</si>
  <si>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</si>
  <si>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</si>
  <si>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</si>
  <si>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</si>
  <si>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</si>
  <si>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</si>
  <si>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</si>
  <si>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</si>
  <si>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</si>
  <si>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</si>
  <si>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</si>
  <si>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</si>
  <si>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</si>
  <si>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</si>
  <si>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</si>
  <si>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</si>
  <si>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</si>
  <si>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</si>
  <si>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</si>
  <si>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</si>
  <si>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</si>
  <si>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</si>
  <si>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</si>
  <si>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</si>
  <si>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</si>
  <si>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</si>
  <si>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</si>
  <si>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</si>
  <si>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</si>
  <si>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</si>
  <si>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</si>
  <si>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</si>
  <si>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</si>
  <si>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</si>
  <si>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</si>
  <si>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</si>
  <si>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</si>
  <si>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</si>
  <si>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</si>
  <si>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</si>
  <si>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</si>
  <si>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</si>
  <si>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</si>
  <si>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</si>
  <si>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</si>
  <si>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</si>
  <si>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</si>
  <si>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</si>
  <si>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</si>
  <si>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</si>
  <si>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</si>
  <si>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</si>
  <si>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</si>
  <si>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</si>
  <si>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</si>
  <si>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</si>
  <si>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</si>
  <si>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</si>
  <si>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</si>
  <si>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</si>
  <si>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</si>
  <si>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</si>
  <si>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</si>
  <si>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</si>
  <si>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</si>
  <si>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</si>
  <si>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</si>
  <si>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</si>
  <si>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</si>
  <si>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</si>
  <si>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</si>
  <si>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</si>
  <si>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</si>
  <si>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</si>
  <si>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</si>
  <si>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</si>
  <si>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</si>
  <si>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</si>
  <si>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</si>
  <si>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</si>
  <si>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</si>
  <si>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</si>
  <si>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</si>
  <si>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</si>
  <si>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</si>
  <si>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</si>
  <si>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</si>
  <si>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</si>
  <si>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</si>
  <si>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</si>
  <si>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</si>
  <si>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</si>
  <si>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</si>
  <si>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</si>
  <si>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</si>
  <si>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</si>
  <si>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</si>
  <si>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</si>
  <si>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</si>
  <si>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</si>
  <si>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</si>
  <si>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</si>
  <si>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</si>
  <si>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</si>
  <si>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</si>
  <si>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</si>
  <si>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</si>
  <si>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</si>
  <si>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</si>
  <si>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</si>
  <si>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</si>
  <si>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</si>
  <si>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</si>
  <si>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</si>
  <si>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</si>
  <si>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</si>
  <si>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</si>
  <si>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</si>
  <si>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</si>
  <si>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</si>
  <si>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</si>
  <si>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</si>
  <si>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</si>
  <si>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</si>
  <si>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</si>
  <si>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</si>
  <si>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</si>
  <si>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</si>
  <si>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</si>
  <si>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</si>
  <si>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</si>
  <si>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</si>
  <si>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</si>
  <si>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</si>
  <si>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</si>
  <si>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</si>
  <si>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</si>
  <si>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</si>
  <si>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</si>
  <si>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</si>
  <si>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</si>
  <si>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</si>
  <si>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</si>
  <si>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</si>
  <si>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</si>
  <si>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</si>
  <si>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</si>
  <si>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</si>
  <si>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</si>
  <si>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</si>
  <si>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</si>
  <si>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</si>
  <si>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</si>
  <si>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</si>
  <si>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</si>
  <si>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</si>
  <si>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</si>
  <si>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</si>
  <si>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</si>
  <si>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</si>
  <si>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</si>
  <si>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</si>
  <si>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</si>
  <si>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</si>
  <si>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</si>
  <si>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</si>
  <si>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</si>
  <si>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</si>
  <si>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</si>
  <si>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</si>
  <si>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</si>
  <si>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</si>
  <si>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</si>
  <si>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</si>
  <si>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</si>
  <si>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</si>
  <si>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</si>
  <si>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</si>
  <si>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</si>
  <si>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</si>
  <si>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</si>
  <si>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</si>
  <si>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</si>
  <si>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</si>
  <si>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</si>
  <si>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</si>
  <si>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</si>
  <si>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</si>
  <si>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</si>
  <si>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</si>
  <si>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</si>
  <si>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</si>
  <si>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</si>
  <si>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</si>
  <si>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</si>
  <si>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</si>
  <si>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</si>
  <si>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</si>
  <si>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</si>
  <si>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</si>
  <si>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</si>
  <si>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</si>
  <si>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</si>
  <si>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</si>
  <si>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</si>
  <si>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</si>
  <si>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</si>
  <si>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</si>
  <si>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</si>
  <si>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</si>
  <si>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</si>
  <si>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</si>
  <si>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</si>
  <si>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</si>
  <si>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</si>
  <si>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</si>
  <si>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</si>
  <si>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</si>
  <si>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</si>
  <si>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</si>
  <si>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</si>
  <si>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</si>
  <si>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</si>
  <si>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</si>
  <si>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</si>
  <si>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</si>
  <si>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</si>
  <si>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</si>
  <si>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</si>
  <si>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</si>
  <si>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</si>
  <si>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</si>
  <si>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</si>
  <si>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</si>
  <si>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</si>
  <si>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</si>
  <si>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</si>
  <si>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</si>
  <si>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</si>
  <si>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</si>
  <si>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</si>
  <si>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</si>
  <si>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</si>
  <si>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</si>
  <si>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</si>
  <si>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</si>
  <si>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</si>
  <si>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</si>
  <si>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</si>
  <si>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</si>
  <si>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</si>
  <si>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</si>
  <si>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</si>
  <si>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</si>
  <si>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</si>
  <si>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</si>
  <si>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</si>
  <si>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</si>
  <si>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</si>
  <si>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</si>
  <si>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</si>
  <si>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</si>
  <si>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</si>
  <si>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</si>
  <si>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</si>
  <si>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</si>
  <si>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</si>
  <si>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</si>
  <si>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</si>
  <si>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</si>
  <si>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</si>
  <si>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</si>
  <si>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</si>
  <si>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</si>
  <si>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</si>
  <si>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</si>
  <si>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</si>
  <si>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</si>
  <si>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</si>
  <si>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</si>
  <si>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</si>
  <si>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</si>
  <si>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</si>
  <si>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</si>
  <si>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</si>
  <si>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</si>
  <si>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</si>
  <si>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</si>
  <si>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</si>
  <si>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</si>
  <si>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</si>
  <si>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</si>
  <si>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</si>
  <si>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</si>
  <si>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</si>
  <si>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</si>
  <si>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</si>
  <si>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</si>
  <si>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</si>
  <si>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</si>
  <si>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</si>
  <si>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</si>
  <si>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</si>
  <si>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</si>
  <si>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</si>
  <si>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</si>
  <si>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</si>
  <si>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</si>
  <si>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</si>
  <si>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</si>
  <si>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</si>
  <si>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</si>
  <si>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</si>
  <si>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</si>
  <si>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</si>
  <si>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</si>
  <si>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</si>
  <si>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</si>
  <si>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</si>
  <si>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</si>
  <si>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</si>
  <si>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</si>
  <si>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</si>
  <si>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</si>
  <si>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</si>
  <si>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</si>
  <si>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</si>
  <si>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</si>
  <si>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</si>
  <si>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</si>
  <si>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</si>
  <si>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</si>
  <si>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</si>
  <si>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</si>
  <si>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</si>
  <si>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</si>
  <si>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</si>
  <si>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</si>
  <si>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</si>
  <si>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</si>
  <si>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</si>
  <si>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</si>
  <si>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</si>
  <si>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</si>
  <si>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</si>
  <si>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</si>
  <si>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</si>
  <si>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</si>
  <si>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</si>
  <si>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</si>
  <si>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</si>
  <si>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</si>
  <si>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</si>
  <si>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</si>
  <si>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</si>
  <si>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</si>
  <si>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</si>
  <si>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</si>
  <si>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</si>
  <si>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</si>
  <si>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</si>
  <si>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</si>
  <si>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</si>
  <si>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</si>
  <si>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</si>
  <si>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</si>
  <si>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</si>
  <si>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</si>
  <si>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</si>
  <si>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</si>
  <si>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</si>
  <si>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</si>
  <si>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</si>
  <si>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</si>
  <si>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</si>
  <si>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</si>
  <si>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</si>
  <si>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</si>
  <si>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</si>
  <si>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</si>
  <si>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</si>
  <si>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</si>
  <si>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</si>
  <si>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</si>
  <si>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</si>
  <si>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</si>
  <si>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</si>
  <si>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</si>
  <si>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</si>
  <si>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</si>
  <si>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</si>
  <si>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</si>
  <si>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</si>
  <si>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</si>
  <si>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</si>
  <si>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</si>
  <si>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</si>
  <si>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</si>
  <si>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</si>
  <si>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</si>
  <si>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</si>
  <si>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</si>
  <si>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</si>
  <si>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</si>
  <si>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</si>
  <si>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</si>
  <si>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</si>
  <si>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</si>
  <si>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</si>
  <si>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</si>
  <si>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</si>
  <si>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</si>
  <si>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</si>
  <si>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</si>
  <si>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</si>
  <si>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</si>
  <si>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</si>
  <si>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</si>
  <si>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</si>
  <si>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</si>
  <si>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</si>
  <si>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</si>
  <si>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</si>
  <si>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</si>
  <si>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</si>
  <si>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</si>
  <si>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</si>
  <si>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</si>
  <si>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</si>
  <si>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</si>
  <si>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</si>
  <si>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</si>
  <si>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</si>
  <si>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</si>
  <si>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</si>
  <si>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</si>
  <si>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</si>
  <si>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</si>
  <si>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</si>
  <si>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</si>
  <si>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</si>
  <si>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</si>
  <si>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</si>
  <si>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</si>
  <si>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</si>
  <si>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</si>
  <si>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</si>
  <si>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</si>
  <si>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</si>
  <si>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</si>
  <si>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</si>
  <si>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</si>
  <si>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</si>
  <si>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</si>
  <si>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</si>
  <si>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</si>
  <si>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</si>
  <si>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</si>
  <si>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</si>
  <si>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</si>
  <si>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</si>
  <si>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</si>
  <si>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</si>
  <si>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</si>
  <si>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</si>
  <si>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</si>
  <si>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</si>
  <si>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</si>
  <si>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</si>
  <si>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</si>
  <si>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</si>
  <si>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</si>
  <si>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</si>
  <si>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</si>
  <si>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</si>
  <si>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</si>
  <si>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</si>
  <si>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</si>
  <si>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</si>
  <si>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</si>
  <si>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</si>
  <si>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</si>
  <si>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</si>
  <si>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</si>
  <si>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</si>
  <si>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</si>
  <si>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</si>
  <si>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</si>
  <si>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</si>
  <si>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</si>
  <si>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</si>
  <si>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</si>
  <si>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</si>
  <si>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</si>
  <si>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</si>
  <si>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</si>
  <si>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</si>
  <si>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</si>
  <si>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</si>
  <si>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</si>
  <si>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</si>
  <si>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</si>
  <si>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</si>
  <si>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</si>
  <si>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</si>
  <si>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</si>
  <si>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</si>
  <si>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</si>
  <si>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</si>
  <si>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</si>
  <si>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</si>
  <si>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</si>
  <si>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</si>
  <si>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</si>
  <si>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</si>
  <si>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</si>
  <si>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</si>
  <si>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</si>
  <si>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</si>
  <si>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</si>
  <si>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</si>
  <si>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</si>
  <si>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</si>
  <si>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</si>
  <si>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</si>
  <si>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</si>
  <si>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</si>
  <si>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</si>
  <si>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</si>
  <si>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</si>
  <si>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</si>
  <si>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</si>
  <si>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</si>
  <si>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</si>
  <si>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</si>
  <si>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</si>
  <si>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</si>
  <si>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</si>
  <si>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</si>
  <si>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</si>
  <si>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</si>
  <si>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</si>
  <si>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</si>
  <si>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</si>
  <si>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</si>
  <si>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</si>
  <si>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</si>
  <si>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</si>
  <si>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</si>
  <si>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</si>
  <si>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</si>
  <si>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</si>
  <si>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</si>
  <si>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</si>
  <si>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</si>
  <si>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</si>
  <si>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</si>
  <si>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</si>
  <si>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</si>
  <si>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</si>
  <si>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</si>
  <si>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</si>
  <si>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</si>
  <si>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</si>
  <si>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</si>
  <si>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</si>
  <si>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</si>
  <si>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</si>
  <si>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</si>
  <si>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</si>
  <si>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</si>
  <si>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</si>
  <si>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</si>
  <si>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</si>
  <si>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</si>
  <si>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</si>
  <si>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</si>
  <si>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</si>
  <si>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</si>
  <si>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</si>
  <si>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</si>
  <si>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</si>
  <si>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</si>
  <si>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</si>
  <si>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</si>
  <si>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</si>
  <si>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</si>
  <si>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</si>
  <si>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</si>
  <si>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</si>
  <si>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</si>
  <si>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</si>
  <si>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</si>
  <si>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</si>
  <si>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</si>
  <si>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</si>
  <si>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</si>
  <si>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</si>
  <si>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</si>
  <si>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</si>
  <si>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</si>
  <si>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</si>
  <si>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</si>
  <si>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</si>
  <si>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</si>
  <si>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</si>
  <si>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</si>
  <si>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</si>
  <si>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</si>
  <si>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</si>
  <si>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</si>
  <si>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</si>
  <si>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</si>
  <si>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</si>
  <si>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</si>
  <si>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</si>
  <si>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</si>
  <si>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</si>
  <si>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</si>
  <si>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</si>
  <si>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</si>
  <si>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</si>
  <si>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</si>
  <si>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</si>
  <si>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</si>
  <si>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</si>
  <si>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</si>
  <si>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</si>
  <si>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</si>
  <si>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</si>
  <si>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</si>
  <si>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</si>
  <si>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</si>
  <si>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</si>
  <si>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</si>
  <si>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</si>
  <si>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</si>
  <si>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</si>
  <si>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</si>
  <si>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</si>
  <si>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</si>
  <si>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</si>
  <si>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</si>
  <si>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</si>
  <si>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</si>
  <si>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</si>
  <si>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</si>
  <si>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</si>
  <si>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</si>
  <si>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</si>
  <si>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</si>
  <si>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</si>
  <si>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</si>
  <si>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</si>
  <si>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</si>
  <si>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</si>
  <si>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</si>
  <si>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</si>
  <si>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</si>
  <si>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</si>
  <si>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</si>
  <si>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</si>
  <si>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</si>
  <si>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</si>
  <si>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</si>
  <si>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</si>
  <si>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</si>
  <si>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</si>
  <si>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</si>
  <si>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</si>
  <si>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</si>
  <si>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</si>
  <si>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</si>
  <si>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</si>
  <si>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</si>
  <si>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</si>
  <si>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</si>
  <si>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</si>
  <si>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</si>
  <si>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</si>
  <si>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</si>
  <si>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</si>
  <si>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</si>
  <si>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</si>
  <si>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</si>
  <si>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</si>
  <si>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</si>
  <si>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</si>
  <si>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</si>
  <si>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</si>
  <si>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</si>
  <si>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</si>
  <si>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</si>
  <si>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</si>
  <si>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</si>
  <si>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</si>
  <si>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</si>
  <si>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</si>
  <si>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</si>
  <si>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</si>
  <si>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</si>
  <si>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</si>
  <si>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</si>
  <si>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</si>
  <si>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</si>
  <si>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</si>
  <si>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</si>
  <si>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</si>
  <si>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</si>
  <si>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</si>
  <si>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</si>
  <si>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</si>
  <si>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</si>
  <si>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</si>
  <si>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</si>
  <si>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</si>
  <si>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</si>
  <si>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</si>
  <si>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</si>
  <si>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</si>
  <si>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</si>
  <si>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</si>
  <si>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</si>
  <si>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</si>
  <si>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</si>
  <si>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</si>
  <si>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</si>
  <si>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</si>
  <si>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</si>
  <si>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</si>
  <si>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</si>
  <si>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</si>
  <si>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</si>
  <si>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</si>
  <si>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</si>
  <si>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</si>
  <si>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</si>
  <si>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</si>
  <si>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</si>
  <si>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</si>
  <si>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</si>
  <si>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</si>
  <si>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</si>
  <si>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</si>
  <si>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</si>
  <si>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</si>
  <si>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</si>
  <si>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</si>
  <si>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</si>
  <si>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</si>
  <si>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</si>
  <si>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</si>
  <si>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</si>
  <si>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</si>
  <si>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</si>
  <si>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</si>
  <si>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</si>
  <si>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</si>
  <si>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</si>
  <si>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</si>
  <si>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</si>
  <si>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</si>
  <si>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</si>
  <si>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</si>
  <si>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</si>
  <si>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</si>
  <si>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</si>
  <si>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</si>
  <si>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</si>
  <si>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</si>
  <si>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</si>
  <si>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</si>
  <si>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</si>
  <si>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</si>
  <si>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</si>
  <si>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</si>
  <si>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</si>
  <si>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</si>
  <si>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</si>
  <si>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</si>
  <si>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</si>
  <si>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</si>
  <si>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</si>
  <si>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</si>
  <si>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</si>
  <si>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</si>
  <si>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</si>
  <si>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</si>
  <si>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</si>
  <si>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</si>
  <si>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</si>
  <si>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</si>
  <si>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</si>
  <si>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</si>
  <si>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</si>
  <si>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</si>
  <si>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</si>
  <si>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</si>
  <si>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</si>
  <si>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</si>
  <si>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</si>
  <si>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</si>
  <si>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</si>
  <si>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</si>
  <si>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</si>
  <si>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</si>
  <si>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</si>
  <si>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</si>
  <si>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</si>
  <si>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</si>
  <si>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</si>
  <si>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</si>
  <si>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</si>
  <si>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</si>
  <si>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</si>
  <si>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</si>
  <si>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</si>
  <si>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</si>
  <si>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</si>
  <si>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</si>
  <si>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</si>
  <si>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</si>
  <si>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</si>
  <si>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</si>
  <si>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</si>
  <si>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</si>
  <si>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</si>
  <si>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</si>
  <si>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</si>
  <si>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</si>
  <si>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</si>
  <si>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</si>
  <si>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</si>
  <si>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</si>
  <si>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</si>
  <si>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</si>
  <si>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</si>
  <si>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</si>
  <si>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</si>
  <si>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</si>
  <si>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</si>
  <si>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</si>
  <si>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</si>
  <si>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</si>
  <si>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</si>
  <si>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</si>
  <si>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</si>
  <si>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</si>
  <si>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</si>
  <si>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</si>
  <si>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</si>
  <si>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</si>
  <si>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</si>
  <si>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</si>
  <si>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</si>
  <si>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</si>
  <si>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</si>
  <si>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</si>
  <si>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</si>
  <si>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</si>
  <si>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</si>
  <si>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</si>
  <si>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</si>
  <si>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</si>
  <si>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</si>
  <si>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</si>
  <si>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</si>
  <si>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</si>
  <si>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</si>
  <si>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</si>
  <si>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</si>
  <si>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</si>
  <si>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</si>
  <si>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</si>
  <si>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</si>
  <si>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</si>
  <si>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</si>
  <si>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</si>
  <si>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</si>
  <si>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</si>
  <si>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</si>
  <si>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</si>
  <si>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</si>
  <si>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</si>
  <si>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</si>
  <si>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</si>
  <si>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</si>
  <si>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</si>
  <si>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</si>
  <si>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</si>
  <si>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</si>
  <si>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</si>
  <si>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</si>
  <si>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</si>
  <si>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</si>
  <si>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</si>
  <si>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</si>
  <si>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</si>
  <si>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</si>
  <si>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</si>
  <si>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</si>
  <si>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</si>
  <si>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</si>
  <si>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</si>
  <si>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</si>
  <si>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</si>
  <si>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</si>
  <si>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</si>
  <si>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</si>
  <si>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</si>
  <si>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</si>
  <si>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</si>
  <si>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</si>
  <si>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</si>
  <si>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</si>
  <si>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</si>
  <si>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</si>
  <si>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</si>
  <si>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</si>
  <si>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</si>
  <si>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</si>
  <si>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</si>
  <si>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</si>
  <si>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</si>
  <si>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</si>
  <si>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</si>
  <si>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</si>
  <si>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</si>
  <si>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</si>
  <si>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</si>
  <si>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</si>
  <si>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</si>
  <si>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</si>
  <si>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</si>
  <si>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</si>
  <si>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</si>
  <si>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</si>
  <si>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</si>
  <si>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</si>
  <si>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</si>
  <si>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</si>
  <si>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</si>
  <si>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</si>
  <si>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</si>
  <si>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</si>
  <si>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</si>
  <si>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</si>
  <si>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</si>
  <si>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</si>
  <si>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</si>
  <si>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</si>
  <si>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</si>
  <si>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</si>
  <si>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</si>
  <si>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</si>
  <si>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</si>
  <si>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</si>
  <si>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</si>
  <si>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</si>
  <si>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</si>
  <si>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</si>
  <si>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</si>
  <si>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</si>
  <si>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</si>
  <si>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</si>
  <si>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</si>
  <si>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</si>
  <si>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</si>
  <si>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</si>
  <si>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</si>
  <si>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</si>
  <si>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</si>
  <si>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</si>
  <si>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</si>
  <si>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</si>
  <si>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</si>
  <si>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</si>
  <si>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</si>
  <si>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</si>
  <si>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</si>
  <si>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</si>
  <si>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</si>
  <si>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</si>
  <si>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</si>
  <si>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</si>
  <si>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</si>
  <si>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</si>
  <si>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</si>
  <si>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</si>
  <si>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</si>
  <si>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</si>
  <si>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</si>
  <si>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</si>
  <si>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</si>
  <si>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</si>
  <si>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</si>
  <si>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</si>
  <si>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</si>
  <si>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</si>
  <si>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</si>
  <si>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</si>
  <si>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</si>
  <si>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</si>
  <si>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</si>
  <si>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</si>
  <si>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</si>
  <si>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</si>
  <si>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</si>
  <si>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</si>
  <si>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</si>
  <si>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</si>
  <si>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</si>
  <si>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</si>
  <si>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</si>
  <si>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</si>
  <si>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</si>
  <si>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</si>
  <si>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</si>
  <si>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</si>
  <si>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</si>
  <si>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</si>
  <si>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</si>
  <si>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</si>
  <si>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</si>
  <si>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</si>
  <si>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</si>
  <si>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</si>
  <si>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</si>
  <si>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</si>
  <si>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</si>
  <si>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</si>
  <si>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</si>
  <si>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</si>
  <si>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</si>
  <si>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</si>
  <si>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</si>
  <si>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</si>
  <si>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</si>
  <si>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</si>
  <si>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</si>
  <si>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</si>
  <si>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</si>
  <si>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</si>
  <si>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</si>
  <si>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</si>
  <si>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</si>
  <si>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</si>
  <si>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</si>
  <si>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</si>
  <si>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</si>
  <si>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</si>
  <si>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</si>
  <si>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</si>
  <si>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</si>
  <si>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</si>
  <si>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</si>
  <si>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</si>
  <si>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</si>
  <si>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</si>
  <si>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</si>
  <si>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</si>
  <si>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</si>
  <si>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</si>
  <si>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</si>
  <si>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</si>
  <si>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</si>
  <si>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</si>
  <si>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</si>
  <si>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</si>
  <si>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</si>
  <si>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</si>
  <si>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</si>
  <si>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</si>
  <si>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</si>
  <si>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</si>
  <si>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</si>
  <si>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</si>
  <si>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</si>
  <si>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</si>
  <si>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</si>
  <si>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</si>
  <si>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</si>
  <si>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</si>
  <si>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</si>
  <si>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</si>
  <si>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</si>
  <si>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</si>
  <si>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</si>
  <si>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</si>
  <si>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</si>
  <si>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</si>
  <si>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</si>
  <si>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</si>
  <si>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</si>
  <si>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</si>
  <si>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</si>
  <si>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</si>
  <si>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</si>
  <si>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</si>
  <si>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</si>
  <si>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</si>
  <si>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</si>
  <si>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</si>
  <si>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</si>
  <si>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</si>
  <si>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</si>
  <si>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</si>
  <si>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</si>
  <si>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</si>
  <si>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</si>
  <si>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</si>
  <si>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</si>
  <si>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</si>
  <si>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</si>
  <si>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</si>
  <si>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</si>
  <si>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</si>
  <si>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</si>
  <si>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</si>
  <si>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</si>
  <si>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</si>
  <si>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</si>
  <si>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</si>
  <si>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</si>
  <si>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</si>
  <si>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</si>
  <si>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</si>
  <si>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</si>
  <si>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</si>
  <si>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</si>
  <si>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</si>
  <si>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</si>
  <si>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</si>
  <si>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</si>
  <si>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</si>
  <si>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</si>
  <si>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</si>
  <si>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</si>
  <si>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</si>
  <si>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</si>
  <si>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</si>
  <si>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</si>
  <si>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</si>
  <si>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</si>
  <si>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</si>
  <si>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</si>
  <si>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</si>
  <si>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</si>
  <si>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</si>
  <si>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</si>
  <si>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</si>
  <si>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</si>
  <si>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</si>
  <si>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</si>
  <si>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</si>
  <si>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</si>
  <si>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</si>
  <si>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</si>
  <si>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</si>
  <si>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</si>
  <si>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</si>
  <si>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</si>
  <si>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</si>
  <si>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</si>
  <si>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</si>
  <si>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</si>
  <si>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</si>
  <si>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</si>
  <si>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</si>
  <si>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</si>
  <si>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</si>
  <si>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</si>
  <si>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</si>
  <si>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</si>
  <si>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</si>
  <si>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</si>
  <si>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</si>
  <si>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</si>
  <si>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</si>
  <si>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</si>
  <si>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</si>
  <si>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</si>
  <si>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</si>
  <si>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</si>
  <si>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</si>
  <si>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</si>
  <si>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</si>
  <si>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</si>
  <si>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</si>
  <si>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</si>
  <si>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</si>
  <si>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</si>
  <si>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</si>
  <si>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</si>
  <si>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</si>
  <si>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</si>
  <si>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</si>
  <si>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</si>
  <si>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</si>
  <si>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</si>
  <si>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</si>
  <si>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</si>
  <si>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</si>
  <si>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</si>
  <si>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</si>
  <si>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</si>
  <si>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</si>
  <si>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</si>
  <si>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</si>
  <si>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</si>
  <si>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</si>
  <si>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</si>
  <si>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</si>
  <si>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</si>
  <si>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</si>
  <si>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</si>
  <si>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</si>
  <si>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</si>
  <si>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</si>
  <si>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</si>
  <si>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</si>
  <si>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</si>
  <si>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</si>
  <si>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</si>
  <si>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</si>
  <si>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</si>
  <si>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</si>
  <si>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</si>
  <si>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</si>
  <si>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</si>
  <si>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</si>
  <si>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</si>
  <si>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</si>
  <si>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</si>
  <si>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</si>
  <si>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</si>
  <si>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</si>
  <si>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</si>
  <si>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</si>
  <si>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</si>
  <si>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</si>
  <si>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</si>
  <si>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</si>
  <si>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</si>
  <si>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</si>
  <si>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</si>
  <si>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</si>
  <si>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</si>
  <si>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</si>
  <si>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</si>
  <si>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</si>
  <si>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</si>
  <si>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</si>
  <si>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</si>
  <si>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</si>
  <si>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</si>
  <si>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</si>
  <si>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</si>
  <si>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</si>
  <si>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</si>
  <si>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</si>
  <si>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</si>
  <si>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</si>
  <si>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</si>
  <si>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</si>
  <si>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</si>
  <si>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</si>
  <si>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</si>
  <si>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</si>
  <si>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</si>
  <si>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</si>
  <si>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</si>
  <si>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</si>
  <si>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</si>
  <si>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</si>
  <si>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</si>
  <si>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</si>
  <si>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</si>
  <si>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</si>
  <si>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</si>
  <si>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</si>
  <si>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</si>
  <si>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</si>
  <si>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</si>
  <si>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</si>
  <si>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</si>
  <si>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</si>
  <si>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</si>
  <si>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</si>
  <si>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</si>
  <si>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</si>
  <si>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</si>
  <si>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</si>
  <si>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</si>
  <si>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</si>
  <si>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</si>
  <si>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</si>
  <si>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</si>
  <si>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</si>
  <si>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</si>
  <si>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</si>
  <si>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</si>
  <si>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</si>
  <si>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</si>
  <si>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</si>
  <si>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</si>
  <si>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</si>
  <si>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</si>
  <si>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</si>
  <si>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</si>
  <si>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</si>
  <si>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</si>
  <si>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</si>
  <si>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</si>
  <si>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</si>
  <si>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</si>
  <si>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</si>
  <si>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</si>
  <si>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</si>
  <si>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</si>
  <si>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</si>
  <si>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</si>
  <si>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</si>
  <si>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</si>
  <si>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</si>
  <si>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</si>
  <si>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</si>
  <si>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</si>
  <si>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</si>
  <si>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</si>
  <si>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</si>
  <si>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</si>
  <si>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</si>
  <si>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</si>
  <si>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</si>
  <si>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</si>
  <si>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</si>
  <si>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</si>
  <si>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</si>
  <si>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</si>
  <si>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</si>
  <si>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</si>
  <si>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</si>
  <si>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</si>
  <si>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</si>
  <si>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</si>
  <si>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</si>
  <si>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</si>
  <si>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</si>
  <si>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</si>
  <si>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</si>
  <si>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</si>
  <si>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</si>
  <si>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</si>
  <si>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</si>
  <si>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</si>
  <si>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</si>
  <si>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</si>
  <si>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</si>
  <si>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</si>
  <si>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</si>
  <si>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</si>
  <si>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</si>
  <si>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</si>
  <si>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</si>
  <si>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</si>
  <si>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</si>
  <si>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</si>
  <si>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</si>
  <si>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</si>
  <si>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</si>
  <si>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</si>
  <si>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</si>
  <si>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</si>
  <si>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</si>
  <si>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</si>
  <si>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</si>
  <si>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</si>
  <si>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</si>
  <si>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</si>
  <si>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</si>
  <si>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</si>
  <si>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</si>
  <si>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</si>
  <si>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</si>
  <si>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</si>
  <si>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</si>
  <si>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</si>
  <si>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</si>
  <si>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</si>
  <si>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</si>
  <si>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</si>
  <si>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</si>
  <si>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</si>
  <si>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</si>
  <si>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</si>
  <si>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</si>
  <si>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</si>
  <si>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</si>
  <si>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</si>
  <si>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</si>
  <si>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</si>
  <si>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</si>
  <si>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</si>
  <si>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</si>
  <si>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</si>
  <si>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</si>
  <si>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</si>
  <si>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</si>
  <si>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</si>
  <si>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</si>
  <si>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</si>
  <si>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</si>
  <si>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</si>
  <si>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</si>
  <si>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</si>
  <si>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</si>
  <si>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</si>
  <si>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</si>
  <si>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</si>
  <si>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</si>
  <si>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</si>
  <si>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</si>
  <si>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</si>
  <si>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</si>
  <si>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</si>
  <si>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</si>
  <si>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</si>
  <si>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</si>
  <si>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</si>
  <si>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</si>
  <si>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</si>
  <si>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</si>
  <si>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</si>
  <si>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</si>
  <si>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</si>
  <si>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</si>
  <si>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</si>
  <si>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</si>
  <si>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</si>
  <si>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</si>
  <si>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</si>
  <si>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</si>
  <si>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</si>
  <si>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</si>
  <si>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</si>
  <si>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</si>
  <si>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</si>
  <si>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</si>
  <si>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</si>
  <si>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</si>
  <si>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</si>
  <si>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</si>
  <si>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</si>
  <si>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</si>
  <si>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</si>
  <si>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</si>
  <si>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</si>
  <si>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</si>
  <si>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</si>
  <si>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</si>
  <si>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</si>
  <si>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</si>
  <si>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</si>
  <si>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</si>
  <si>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</si>
  <si>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</si>
  <si>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</si>
  <si>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</si>
  <si>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</si>
  <si>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</si>
  <si>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</si>
  <si>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</si>
  <si>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</si>
  <si>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</si>
  <si>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</si>
  <si>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</si>
  <si>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</si>
  <si>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</si>
  <si>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</si>
  <si>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</si>
  <si>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</si>
  <si>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</si>
  <si>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</si>
  <si>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</si>
  <si>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</si>
  <si>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</si>
  <si>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</si>
  <si>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</si>
  <si>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</si>
  <si>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</si>
  <si>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</si>
  <si>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</si>
  <si>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</si>
  <si>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</si>
  <si>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</si>
  <si>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</si>
  <si>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</si>
  <si>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</si>
  <si>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</si>
  <si>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</si>
  <si>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</si>
  <si>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</si>
  <si>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</si>
  <si>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</si>
  <si>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</si>
  <si>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</si>
  <si>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</si>
  <si>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</si>
  <si>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</si>
  <si>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</si>
  <si>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</si>
  <si>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</si>
  <si>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</si>
  <si>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</si>
  <si>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</si>
  <si>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</si>
  <si>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</si>
  <si>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</si>
  <si>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</si>
  <si>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</si>
  <si>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</si>
  <si>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</si>
  <si>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</si>
  <si>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</si>
  <si>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</si>
  <si>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</si>
  <si>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</si>
  <si>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</si>
  <si>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</si>
  <si>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</si>
  <si>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</si>
  <si>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</si>
  <si>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</si>
  <si>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</si>
  <si>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</si>
  <si>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</si>
  <si>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</si>
  <si>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</si>
  <si>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</si>
  <si>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</si>
  <si>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</si>
  <si>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</si>
  <si>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</si>
  <si>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</si>
  <si>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</si>
  <si>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</si>
  <si>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</si>
  <si>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</si>
  <si>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</si>
  <si>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</si>
  <si>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</si>
  <si>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</si>
  <si>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</si>
  <si>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</si>
  <si>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</si>
  <si>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</si>
  <si>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</si>
  <si>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</si>
  <si>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</si>
  <si>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</si>
  <si>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</si>
  <si>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</si>
  <si>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</si>
  <si>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</si>
  <si>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</si>
  <si>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</si>
  <si>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</si>
  <si>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</si>
  <si>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</si>
  <si>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</si>
  <si>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</si>
  <si>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</si>
  <si>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</si>
  <si>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</si>
  <si>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</si>
  <si>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</si>
  <si>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</si>
  <si>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</si>
  <si>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</si>
  <si>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</si>
  <si>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</si>
  <si>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</si>
  <si>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</si>
  <si>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</si>
  <si>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</si>
  <si>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</si>
  <si>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</si>
  <si>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</si>
  <si>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</si>
  <si>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</si>
  <si>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</si>
  <si>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</si>
  <si>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</si>
  <si>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</si>
  <si>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</si>
  <si>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</si>
  <si>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</si>
  <si>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</si>
  <si>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</si>
  <si>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</si>
  <si>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</si>
  <si>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</si>
  <si>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</si>
  <si>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</si>
  <si>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</si>
  <si>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</si>
  <si>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</si>
  <si>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</si>
  <si>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</si>
  <si>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</si>
  <si>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</si>
  <si>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</si>
  <si>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</si>
  <si>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</si>
  <si>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</si>
  <si>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</si>
  <si>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</si>
  <si>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</si>
  <si>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</si>
  <si>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</si>
  <si>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</si>
  <si>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</si>
  <si>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</si>
  <si>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</si>
  <si>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</si>
  <si>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</si>
  <si>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</si>
  <si>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</si>
  <si>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</si>
  <si>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</si>
  <si>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</si>
  <si>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</si>
  <si>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</si>
  <si>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</si>
  <si>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</si>
  <si>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</si>
  <si>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</si>
  <si>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</si>
  <si>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</si>
  <si>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</si>
  <si>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</si>
  <si>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</si>
  <si>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</si>
  <si>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</si>
  <si>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</si>
  <si>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</si>
  <si>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</si>
  <si>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</si>
  <si>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</si>
  <si>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</si>
  <si>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</si>
  <si>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</si>
  <si>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</si>
  <si>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</si>
  <si>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</si>
  <si>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</si>
  <si>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</si>
  <si>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</si>
  <si>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</si>
  <si>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</si>
  <si>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</si>
  <si>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</si>
  <si>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</si>
  <si>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</si>
  <si>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</si>
  <si>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</si>
  <si>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</si>
  <si>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</si>
  <si>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</si>
  <si>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</si>
  <si>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</si>
  <si>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</si>
  <si>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</si>
  <si>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</si>
  <si>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</si>
  <si>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</si>
  <si>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</si>
  <si>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</si>
  <si>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</si>
  <si>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</si>
  <si>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</si>
  <si>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</si>
  <si>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</si>
  <si>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</si>
  <si>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</si>
  <si>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</si>
  <si>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</si>
  <si>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</si>
  <si>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</si>
  <si>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</si>
  <si>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</si>
  <si>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</si>
  <si>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</si>
  <si>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</si>
  <si>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</si>
  <si>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</si>
  <si>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</si>
  <si>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</si>
  <si>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</si>
  <si>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</si>
  <si>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</si>
  <si>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</si>
  <si>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</si>
  <si>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</si>
  <si>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</si>
  <si>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</si>
  <si>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</si>
  <si>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</si>
  <si>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</si>
  <si>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</si>
  <si>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</si>
  <si>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</si>
  <si>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</si>
  <si>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</si>
  <si>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</si>
  <si>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</si>
  <si>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</si>
  <si>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</si>
  <si>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</si>
  <si>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</si>
  <si>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</si>
  <si>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</si>
  <si>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</si>
  <si>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</si>
  <si>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</si>
  <si>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</si>
  <si>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</si>
  <si>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</si>
  <si>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</si>
  <si>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</si>
  <si>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</si>
  <si>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</si>
  <si>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</si>
  <si>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</si>
  <si>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</si>
  <si>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</si>
  <si>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</si>
  <si>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</si>
  <si>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</si>
  <si>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</si>
  <si>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</si>
  <si>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</si>
  <si>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</si>
  <si>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</si>
  <si>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</si>
  <si>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</si>
  <si>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</si>
  <si>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</si>
  <si>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</si>
  <si>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</si>
  <si>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</si>
  <si>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</si>
  <si>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</si>
  <si>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</si>
  <si>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</si>
  <si>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</si>
  <si>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</si>
  <si>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</si>
  <si>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</si>
  <si>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</si>
  <si>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</si>
  <si>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</si>
  <si>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</si>
  <si>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</si>
  <si>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</si>
  <si>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</si>
  <si>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</si>
  <si>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</si>
  <si>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</si>
  <si>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</si>
  <si>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</si>
  <si>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</si>
  <si>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</si>
  <si>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</si>
  <si>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</si>
  <si>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</si>
  <si>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</si>
  <si>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</si>
  <si>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</si>
  <si>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</si>
  <si>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</si>
  <si>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</si>
  <si>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</si>
  <si>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</si>
  <si>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</si>
  <si>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</si>
  <si>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</si>
  <si>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</si>
  <si>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</si>
  <si>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</si>
  <si>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</si>
  <si>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</si>
  <si>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</si>
  <si>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</si>
  <si>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</si>
  <si>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</si>
  <si>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</si>
  <si>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</si>
  <si>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</si>
  <si>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</si>
  <si>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</si>
  <si>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</si>
  <si>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</si>
  <si>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</si>
  <si>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</si>
  <si>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</si>
  <si>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</si>
  <si>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</si>
  <si>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</si>
  <si>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</si>
  <si>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</si>
  <si>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</si>
  <si>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</si>
  <si>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</si>
  <si>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</si>
  <si>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</si>
  <si>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</si>
  <si>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</si>
  <si>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</si>
  <si>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</si>
  <si>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</si>
  <si>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</si>
  <si>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</si>
  <si>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</si>
  <si>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</si>
  <si>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</si>
  <si>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</si>
  <si>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</si>
  <si>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</si>
  <si>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</si>
  <si>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</si>
  <si>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</si>
  <si>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</si>
  <si>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</si>
  <si>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</si>
  <si>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</si>
  <si>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</si>
  <si>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</si>
  <si>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</si>
  <si>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</si>
  <si>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</si>
  <si>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</si>
  <si>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</si>
  <si>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</si>
  <si>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</si>
  <si>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</si>
  <si>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</si>
  <si>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</si>
  <si>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</si>
  <si>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</si>
  <si>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</si>
  <si>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</si>
  <si>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</si>
  <si>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</si>
  <si>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</si>
  <si>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</si>
  <si>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</si>
  <si>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</si>
  <si>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</si>
  <si>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</si>
  <si>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</si>
  <si>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</si>
  <si>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</si>
  <si>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</si>
  <si>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</si>
  <si>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</si>
  <si>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</si>
  <si>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</si>
  <si>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</si>
  <si>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</si>
  <si>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</si>
  <si>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</si>
  <si>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</si>
  <si>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</si>
  <si>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</si>
  <si>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</si>
  <si>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</si>
  <si>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</si>
  <si>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</si>
  <si>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</si>
  <si>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</si>
  <si>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</si>
  <si>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</si>
  <si>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</si>
  <si>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</si>
  <si>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</si>
  <si>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</si>
  <si>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</si>
  <si>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</si>
  <si>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</si>
  <si>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</si>
  <si>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</si>
  <si>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</si>
  <si>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</si>
  <si>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</si>
  <si>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</si>
  <si>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</si>
  <si>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</si>
  <si>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</si>
  <si>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</si>
  <si>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</si>
  <si>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</si>
  <si>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</si>
  <si>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</si>
  <si>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</si>
  <si>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</si>
  <si>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</si>
  <si>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</si>
  <si>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</si>
  <si>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</si>
  <si>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</si>
  <si>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</si>
  <si>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</si>
  <si>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</si>
  <si>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</si>
  <si>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</si>
  <si>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</si>
  <si>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</si>
  <si>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</si>
  <si>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</si>
  <si>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</si>
  <si>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</si>
  <si>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</si>
  <si>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</si>
  <si>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</si>
  <si>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</si>
  <si>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</si>
  <si>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</si>
  <si>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</si>
  <si>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</si>
  <si>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</si>
  <si>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</si>
  <si>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</si>
  <si>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</si>
  <si>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</si>
  <si>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</si>
  <si>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</si>
  <si>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</si>
  <si>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</si>
  <si>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</si>
  <si>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</si>
  <si>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</si>
  <si>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</si>
  <si>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</si>
  <si>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</si>
  <si>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</si>
  <si>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</si>
  <si>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</si>
  <si>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</si>
  <si>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</si>
  <si>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</si>
  <si>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</si>
  <si>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</si>
  <si>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</si>
  <si>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</si>
  <si>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</si>
  <si>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</si>
  <si>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</si>
  <si>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</si>
  <si>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</si>
  <si>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</si>
  <si>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</si>
  <si>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</si>
  <si>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</si>
  <si>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</si>
  <si>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</si>
  <si>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</si>
  <si>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</si>
  <si>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</si>
  <si>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</si>
  <si>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</si>
  <si>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</si>
  <si>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</si>
  <si>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</si>
  <si>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</si>
  <si>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</si>
  <si>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</si>
  <si>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</si>
  <si>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</si>
  <si>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</si>
  <si>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</si>
  <si>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</si>
  <si>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</si>
  <si>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</si>
  <si>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</si>
  <si>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</si>
  <si>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</si>
  <si>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</si>
  <si>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</si>
  <si>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</si>
  <si>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</si>
  <si>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</si>
  <si>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</si>
  <si>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</si>
  <si>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</si>
  <si>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</si>
  <si>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</si>
  <si>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</si>
  <si>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</si>
  <si>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</si>
  <si>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</si>
  <si>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</si>
  <si>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</si>
  <si>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</si>
  <si>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</si>
  <si>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</si>
  <si>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</si>
  <si>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</si>
  <si>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</si>
  <si>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</si>
  <si>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</si>
  <si>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</si>
  <si>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</si>
  <si>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</si>
  <si>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</si>
  <si>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</si>
  <si>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</si>
  <si>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</si>
  <si>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</si>
  <si>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</si>
  <si>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</si>
  <si>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</si>
  <si>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</si>
  <si>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</si>
  <si>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</si>
  <si>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</si>
  <si>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</si>
  <si>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</si>
  <si>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</si>
  <si>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</si>
  <si>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</si>
  <si>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</si>
  <si>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</si>
  <si>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</si>
  <si>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</si>
  <si>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</si>
  <si>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</si>
  <si>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</si>
  <si>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</si>
  <si>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</si>
  <si>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</si>
  <si>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</si>
  <si>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</si>
  <si>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</si>
  <si>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</si>
  <si>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</si>
  <si>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</si>
  <si>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</si>
  <si>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</si>
  <si>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</si>
  <si>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</si>
  <si>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</si>
  <si>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</si>
  <si>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</si>
  <si>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</si>
  <si>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</si>
  <si>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</si>
  <si>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</si>
  <si>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</si>
  <si>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</si>
  <si>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</si>
  <si>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</si>
  <si>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</si>
  <si>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</si>
  <si>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</si>
  <si>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</si>
  <si>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</si>
  <si>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</si>
  <si>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</si>
  <si>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</si>
  <si>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</si>
  <si>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</si>
  <si>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</si>
  <si>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</si>
  <si>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</si>
  <si>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</si>
  <si>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</si>
  <si>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</si>
  <si>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</si>
  <si>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</si>
  <si>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</si>
  <si>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</si>
  <si>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</si>
  <si>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</si>
  <si>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</si>
  <si>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</si>
  <si>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</si>
  <si>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</si>
  <si>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</si>
  <si>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</si>
  <si>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</si>
  <si>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</si>
  <si>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</si>
  <si>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</si>
  <si>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</si>
  <si>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</si>
  <si>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</si>
  <si>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</si>
  <si>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</si>
  <si>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</si>
  <si>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</si>
  <si>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</si>
  <si>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</si>
  <si>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</si>
  <si>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</si>
  <si>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</si>
  <si>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</si>
  <si>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</si>
  <si>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</si>
  <si>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</si>
  <si>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</si>
  <si>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</si>
  <si>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</si>
  <si>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</si>
  <si>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</si>
  <si>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</si>
  <si>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</si>
  <si>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</si>
  <si>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</si>
  <si>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</si>
  <si>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</si>
  <si>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</si>
  <si>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</si>
  <si>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</si>
  <si>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</si>
  <si>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</si>
  <si>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</si>
  <si>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</si>
  <si>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</si>
  <si>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</si>
  <si>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</si>
  <si>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</si>
  <si>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</si>
  <si>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</si>
  <si>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</si>
  <si>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</si>
  <si>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</si>
  <si>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</si>
  <si>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</si>
  <si>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</si>
  <si>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</si>
  <si>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</si>
  <si>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</si>
  <si>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</si>
  <si>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</si>
  <si>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</si>
  <si>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</si>
  <si>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</si>
  <si>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</si>
  <si>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</si>
  <si>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</si>
  <si>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</si>
  <si>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</si>
  <si>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</si>
  <si>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</si>
  <si>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</si>
  <si>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</si>
  <si>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</si>
  <si>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</si>
  <si>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</si>
  <si>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</si>
  <si>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</si>
  <si>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</si>
  <si>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</si>
  <si>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</si>
  <si>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</si>
  <si>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</si>
  <si>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</si>
  <si>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</si>
  <si>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</si>
  <si>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</si>
  <si>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</si>
  <si>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</si>
  <si>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</si>
  <si>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</si>
  <si>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</si>
  <si>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</si>
  <si>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</si>
  <si>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</si>
  <si>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</si>
  <si>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</si>
  <si>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</si>
  <si>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</si>
  <si>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</si>
  <si>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</si>
  <si>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</si>
  <si>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</si>
  <si>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</si>
  <si>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</si>
  <si>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</si>
  <si>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</si>
  <si>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</si>
  <si>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</si>
  <si>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</si>
  <si>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</si>
  <si>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</si>
  <si>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</si>
  <si>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</si>
  <si>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</si>
  <si>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</si>
  <si>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</si>
  <si>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</si>
  <si>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</si>
  <si>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</si>
  <si>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</si>
  <si>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</si>
  <si>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</si>
  <si>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</si>
  <si>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</si>
  <si>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</si>
  <si>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</si>
  <si>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</si>
  <si>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</si>
  <si>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</si>
  <si>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</si>
  <si>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</si>
  <si>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</si>
  <si>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</si>
  <si>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</si>
  <si>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</si>
  <si>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</si>
  <si>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</si>
  <si>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</si>
  <si>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</si>
  <si>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</si>
  <si>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</si>
  <si>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</si>
  <si>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</si>
  <si>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</si>
  <si>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</si>
  <si>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</si>
  <si>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</si>
  <si>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</si>
  <si>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</si>
  <si>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</si>
  <si>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</si>
  <si>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</si>
  <si>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</si>
  <si>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</si>
  <si>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</si>
  <si>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</si>
  <si>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</si>
  <si>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</si>
  <si>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</si>
  <si>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</si>
  <si>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</si>
  <si>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</si>
  <si>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</si>
  <si>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</si>
  <si>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</si>
  <si>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</si>
  <si>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</si>
  <si>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</si>
  <si>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</si>
  <si>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</si>
  <si>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</si>
  <si>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</si>
  <si>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</si>
  <si>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</si>
  <si>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</si>
  <si>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</si>
  <si>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</si>
  <si>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</si>
  <si>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</si>
  <si>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</si>
  <si>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</si>
  <si>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</si>
  <si>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</si>
  <si>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</si>
  <si>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</si>
  <si>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</si>
  <si>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</si>
  <si>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</si>
  <si>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</si>
  <si>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</si>
  <si>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</si>
  <si>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</si>
  <si>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</si>
  <si>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</si>
  <si>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</si>
  <si>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</si>
  <si>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</si>
  <si>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</si>
  <si>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</si>
  <si>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</si>
  <si>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</si>
  <si>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</si>
  <si>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</si>
  <si>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</si>
  <si>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</si>
  <si>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</si>
  <si>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</si>
  <si>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</si>
  <si>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</si>
  <si>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</si>
  <si>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</si>
  <si>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</si>
  <si>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</si>
  <si>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</si>
  <si>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</si>
  <si>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</si>
  <si>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</si>
  <si>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</si>
  <si>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</si>
  <si>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</si>
  <si>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</si>
  <si>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</si>
  <si>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</si>
  <si>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</si>
  <si>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</si>
  <si>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</si>
  <si>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</si>
  <si>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</si>
  <si>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</si>
  <si>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</si>
  <si>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</si>
  <si>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</si>
  <si>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</si>
  <si>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</si>
  <si>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</si>
  <si>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</si>
  <si>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</si>
  <si>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</si>
  <si>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</si>
  <si>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</si>
  <si>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</si>
  <si>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</si>
  <si>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</si>
  <si>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</si>
  <si>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</si>
  <si>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</si>
  <si>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</si>
  <si>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</si>
  <si>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</si>
  <si>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</si>
  <si>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</si>
  <si>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</si>
  <si>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</si>
  <si>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</si>
  <si>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</si>
  <si>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</si>
  <si>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</si>
  <si>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</si>
  <si>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</si>
  <si>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</si>
  <si>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</si>
  <si>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</si>
  <si>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</si>
  <si>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</si>
  <si>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</si>
  <si>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</si>
  <si>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</si>
  <si>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</si>
  <si>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</si>
  <si>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</si>
  <si>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</si>
  <si>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</si>
  <si>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</si>
  <si>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</si>
  <si>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</si>
  <si>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</si>
  <si>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</si>
  <si>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</si>
  <si>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</si>
  <si>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</si>
  <si>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</si>
  <si>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</si>
  <si>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</si>
  <si>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</si>
  <si>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</si>
  <si>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</si>
  <si>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</si>
  <si>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</si>
  <si>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</si>
  <si>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</si>
  <si>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</si>
  <si>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</si>
  <si>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</si>
  <si>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</si>
  <si>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</si>
  <si>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</si>
  <si>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</si>
  <si>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</si>
  <si>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</si>
  <si>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</si>
  <si>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</si>
  <si>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</si>
  <si>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</si>
  <si>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</si>
  <si>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</si>
  <si>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</si>
  <si>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</si>
  <si>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</si>
  <si>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</si>
  <si>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</si>
  <si>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</si>
  <si>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</si>
  <si>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</si>
  <si>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</si>
  <si>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</si>
  <si>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</si>
  <si>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</si>
  <si>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</si>
  <si>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</si>
  <si>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</si>
  <si>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</si>
  <si>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</si>
  <si>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</si>
  <si>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</si>
  <si>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</si>
  <si>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</si>
  <si>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</si>
  <si>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</si>
  <si>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</si>
  <si>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</si>
  <si>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</si>
  <si>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</si>
  <si>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</si>
  <si>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</si>
  <si>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</si>
  <si>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</si>
  <si>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</si>
  <si>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</si>
  <si>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</si>
  <si>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</si>
  <si>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</si>
  <si>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</si>
  <si>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</si>
  <si>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</si>
  <si>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</si>
  <si>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</si>
  <si>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</si>
  <si>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</si>
  <si>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</si>
  <si>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</si>
  <si>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</si>
  <si>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</si>
  <si>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</si>
  <si>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</si>
  <si>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</si>
  <si>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</si>
  <si>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</si>
  <si>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</si>
  <si>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</si>
  <si>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</si>
  <si>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</si>
  <si>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</si>
  <si>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</si>
  <si>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</si>
  <si>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</si>
  <si>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</si>
  <si>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</si>
  <si>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</si>
  <si>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</si>
  <si>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</si>
  <si>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</si>
  <si>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</si>
  <si>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</si>
  <si>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</si>
  <si>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</si>
  <si>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</si>
  <si>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</si>
  <si>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</si>
  <si>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</si>
  <si>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</si>
  <si>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</si>
  <si>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</si>
  <si>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</si>
  <si>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</si>
  <si>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</si>
  <si>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</si>
  <si>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</si>
  <si>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</si>
  <si>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</si>
  <si>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</si>
  <si>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</si>
  <si>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</si>
  <si>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</si>
  <si>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</si>
  <si>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</si>
  <si>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</si>
  <si>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</si>
  <si>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</si>
  <si>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</si>
  <si>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</si>
  <si>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</si>
  <si>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</si>
  <si>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</si>
  <si>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</si>
  <si>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</si>
  <si>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</si>
  <si>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</si>
  <si>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</si>
  <si>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</si>
  <si>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</si>
  <si>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</si>
  <si>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</si>
  <si>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</si>
  <si>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</si>
  <si>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</si>
  <si>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</si>
  <si>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</si>
  <si>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</si>
  <si>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</si>
  <si>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</si>
  <si>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</si>
  <si>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</si>
  <si>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</si>
  <si>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</si>
  <si>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</si>
  <si>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</si>
  <si>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</si>
  <si>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</si>
  <si>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</si>
  <si>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</si>
  <si>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</si>
  <si>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</si>
  <si>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</si>
  <si>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</si>
  <si>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</si>
  <si>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</si>
  <si>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</si>
  <si>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</si>
  <si>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</si>
  <si>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</si>
  <si>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</si>
  <si>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</si>
  <si>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</si>
  <si>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</si>
  <si>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</si>
  <si>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</si>
  <si>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</si>
  <si>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</si>
  <si>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</si>
  <si>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</si>
  <si>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</si>
  <si>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</si>
  <si>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</si>
  <si>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</si>
  <si>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</si>
  <si>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</si>
  <si>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</si>
  <si>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</si>
  <si>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</si>
  <si>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</si>
  <si>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</si>
  <si>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</si>
  <si>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</si>
  <si>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</si>
  <si>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</si>
  <si>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</si>
  <si>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</si>
  <si>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</si>
  <si>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</si>
  <si>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</si>
  <si>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</si>
  <si>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</si>
  <si>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</si>
  <si>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</si>
  <si>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</si>
  <si>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</si>
  <si>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</si>
  <si>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</si>
  <si>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</si>
  <si>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</si>
  <si>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</si>
  <si>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</si>
  <si>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</si>
  <si>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</si>
  <si>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</si>
  <si>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</si>
  <si>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</si>
  <si>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</si>
  <si>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</si>
  <si>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</si>
  <si>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</si>
  <si>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</si>
  <si>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</si>
  <si>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</si>
  <si>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</si>
  <si>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</si>
  <si>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</si>
  <si>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</si>
  <si>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</si>
  <si>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</si>
  <si>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</si>
  <si>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</si>
  <si>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</si>
  <si>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</si>
  <si>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</si>
  <si>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</si>
  <si>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</si>
  <si>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</si>
  <si>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</si>
  <si>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</si>
  <si>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</si>
  <si>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</si>
  <si>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</si>
  <si>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</si>
  <si>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</si>
  <si>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</si>
  <si>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</si>
  <si>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</si>
  <si>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</si>
  <si>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</si>
  <si>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</si>
  <si>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</si>
  <si>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</si>
  <si>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</si>
  <si>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</si>
  <si>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</si>
  <si>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</si>
  <si>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</si>
  <si>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</si>
  <si>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</si>
  <si>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</si>
  <si>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</si>
  <si>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</si>
  <si>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</si>
  <si>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</si>
  <si>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</si>
  <si>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</si>
  <si>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</si>
  <si>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</si>
  <si>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</si>
  <si>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</si>
  <si>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</si>
  <si>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</si>
  <si>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</si>
  <si>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</si>
  <si>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</si>
  <si>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</si>
  <si>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</si>
  <si>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</si>
  <si>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</si>
  <si>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</si>
  <si>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</si>
  <si>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</si>
  <si>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</si>
  <si>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</si>
  <si>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</si>
  <si>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</si>
  <si>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</si>
  <si>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</si>
  <si>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</si>
  <si>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</si>
  <si>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</si>
  <si>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</si>
  <si>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</si>
  <si>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</si>
  <si>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</si>
  <si>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</si>
  <si>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</si>
  <si>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</si>
  <si>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</si>
  <si>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</si>
  <si>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</si>
  <si>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</si>
  <si>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</si>
  <si>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</si>
  <si>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</si>
  <si>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</si>
  <si>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</si>
  <si>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</si>
  <si>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</si>
  <si>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</si>
  <si>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</si>
  <si>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</si>
  <si>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</si>
  <si>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</si>
  <si>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</si>
  <si>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</si>
  <si>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</si>
  <si>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</si>
  <si>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</si>
  <si>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</si>
  <si>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</si>
  <si>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</si>
  <si>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</si>
  <si>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</si>
  <si>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</si>
  <si>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</si>
  <si>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</si>
  <si>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</si>
  <si>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</si>
  <si>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</si>
  <si>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</si>
  <si>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</si>
  <si>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</si>
  <si>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</si>
  <si>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</si>
  <si>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</si>
  <si>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</si>
  <si>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</si>
  <si>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</si>
  <si>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</si>
  <si>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</si>
  <si>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</si>
  <si>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</si>
  <si>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</si>
  <si>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</si>
  <si>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</si>
  <si>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</si>
  <si>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</si>
  <si>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</si>
  <si>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</si>
  <si>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</si>
  <si>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</si>
  <si>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</si>
  <si>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</si>
  <si>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</si>
  <si>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</si>
  <si>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</si>
  <si>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</si>
  <si>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</si>
  <si>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</si>
  <si>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</si>
  <si>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</si>
  <si>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</si>
  <si>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</si>
  <si>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</si>
  <si>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</si>
  <si>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</si>
  <si>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</si>
  <si>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</si>
  <si>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</si>
  <si>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</si>
  <si>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</si>
  <si>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</si>
  <si>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</si>
  <si>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</si>
  <si>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</si>
  <si>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</si>
  <si>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</si>
  <si>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</si>
  <si>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</si>
  <si>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</si>
  <si>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</si>
  <si>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</si>
  <si>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</si>
  <si>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</si>
  <si>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</si>
  <si>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</si>
  <si>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</si>
  <si>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</si>
  <si>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</si>
  <si>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</si>
  <si>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</si>
  <si>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</si>
  <si>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</si>
  <si>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</si>
  <si>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</si>
  <si>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</si>
  <si>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</si>
  <si>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</si>
  <si>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</si>
  <si>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</si>
  <si>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</si>
  <si>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</si>
  <si>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</si>
  <si>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</si>
  <si>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</si>
  <si>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</si>
  <si>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</si>
  <si>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</si>
  <si>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</si>
  <si>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</si>
  <si>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</si>
  <si>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</si>
  <si>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</si>
  <si>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</si>
  <si>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</si>
  <si>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</si>
  <si>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</si>
  <si>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</si>
  <si>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</si>
  <si>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</si>
  <si>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</si>
  <si>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</si>
  <si>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</si>
  <si>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</si>
  <si>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</si>
  <si>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</si>
  <si>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</si>
  <si>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</si>
  <si>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</si>
  <si>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</si>
  <si>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</si>
  <si>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</si>
  <si>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</si>
  <si>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</si>
  <si>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</si>
  <si>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</si>
  <si>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</si>
  <si>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</si>
  <si>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</si>
  <si>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</si>
  <si>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</si>
  <si>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</si>
  <si>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</si>
  <si>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</si>
  <si>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</si>
  <si>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</si>
  <si>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</si>
  <si>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</si>
  <si>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</si>
  <si>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</si>
  <si>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</si>
  <si>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</si>
  <si>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</si>
  <si>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</si>
  <si>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</si>
  <si>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</si>
  <si>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</si>
  <si>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</si>
  <si>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</si>
  <si>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</si>
  <si>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</si>
  <si>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</si>
  <si>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</si>
  <si>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</si>
  <si>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</si>
  <si>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</si>
  <si>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</si>
  <si>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</si>
  <si>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</si>
  <si>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</si>
  <si>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</si>
  <si>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</si>
  <si>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</si>
  <si>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</si>
  <si>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</si>
  <si>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</si>
  <si>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</si>
  <si>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</si>
  <si>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</si>
  <si>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</si>
  <si>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</si>
  <si>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</si>
  <si>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</si>
  <si>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</si>
  <si>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</si>
  <si>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</si>
  <si>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</si>
  <si>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</si>
  <si>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</si>
  <si>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</si>
  <si>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</si>
  <si>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</si>
  <si>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</si>
  <si>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</si>
  <si>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</si>
  <si>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</si>
  <si>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</si>
  <si>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</si>
  <si>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</si>
  <si>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</si>
  <si>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</si>
  <si>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</si>
  <si>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</si>
  <si>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</si>
  <si>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</si>
  <si>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</si>
  <si>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</si>
  <si>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</si>
  <si>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</si>
  <si>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</si>
  <si>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</si>
  <si>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</si>
  <si>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</si>
  <si>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</si>
  <si>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</si>
  <si>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</si>
  <si>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</si>
  <si>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</si>
  <si>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</si>
  <si>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</si>
  <si>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</si>
  <si>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</si>
  <si>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</si>
  <si>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</si>
  <si>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</si>
  <si>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</si>
  <si>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</si>
  <si>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</si>
  <si>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</si>
  <si>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</si>
  <si>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</si>
  <si>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</si>
  <si>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</si>
  <si>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</si>
  <si>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</si>
  <si>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</si>
  <si>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</si>
  <si>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</si>
  <si>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</si>
  <si>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</si>
  <si>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</si>
  <si>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</si>
  <si>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</si>
  <si>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</si>
  <si>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</si>
  <si>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</si>
  <si>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</si>
  <si>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</si>
  <si>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</si>
  <si>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</si>
  <si>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</si>
  <si>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</si>
  <si>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</si>
  <si>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</si>
  <si>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</si>
  <si>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</si>
  <si>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</si>
  <si>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</si>
  <si>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</si>
  <si>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</si>
  <si>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</si>
  <si>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</si>
  <si>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</si>
  <si>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</si>
  <si>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</si>
  <si>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</si>
  <si>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</si>
  <si>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</si>
  <si>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</si>
  <si>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</si>
  <si>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</si>
  <si>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</si>
  <si>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</si>
  <si>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</si>
  <si>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</si>
  <si>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</si>
  <si>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</si>
  <si>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</si>
  <si>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</si>
  <si>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</si>
  <si>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</si>
  <si>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</si>
  <si>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</si>
  <si>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</si>
  <si>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</si>
  <si>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</si>
  <si>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</si>
  <si>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</si>
  <si>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</si>
  <si>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</si>
  <si>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</si>
  <si>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</si>
  <si>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</si>
  <si>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</si>
  <si>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</si>
  <si>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</si>
  <si>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</si>
  <si>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</si>
  <si>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</si>
  <si>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</si>
  <si>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</si>
  <si>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</si>
  <si>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</si>
  <si>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</si>
  <si>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</si>
  <si>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</si>
  <si>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</si>
  <si>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</si>
  <si>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</si>
  <si>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</si>
  <si>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</si>
  <si>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</si>
  <si>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</si>
  <si>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</si>
  <si>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</si>
  <si>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</si>
  <si>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</si>
  <si>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</si>
  <si>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</si>
  <si>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</si>
  <si>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</si>
  <si>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</si>
  <si>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</si>
  <si>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</si>
  <si>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</si>
  <si>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</si>
  <si>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</si>
  <si>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</si>
  <si>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</si>
  <si>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</si>
  <si>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</si>
  <si>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</si>
  <si>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</si>
  <si>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</si>
  <si>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</si>
  <si>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</si>
  <si>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</si>
  <si>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</si>
  <si>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</si>
  <si>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</si>
  <si>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</si>
  <si>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</si>
  <si>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</si>
  <si>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</si>
  <si>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</si>
  <si>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</si>
  <si>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</si>
  <si>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</si>
  <si>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</si>
  <si>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</si>
  <si>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</si>
  <si>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</si>
  <si>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</si>
  <si>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</si>
  <si>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</si>
  <si>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</si>
  <si>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</si>
  <si>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</si>
  <si>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</si>
  <si>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</si>
  <si>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</si>
  <si>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</si>
  <si>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</si>
  <si>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</si>
  <si>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</si>
  <si>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</si>
  <si>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</si>
  <si>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</si>
  <si>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</si>
  <si>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</si>
  <si>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</si>
  <si>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</si>
  <si>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</si>
  <si>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</si>
  <si>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</si>
  <si>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</si>
  <si>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</si>
  <si>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</si>
  <si>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</si>
  <si>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</si>
  <si>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</si>
  <si>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</si>
  <si>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</si>
  <si>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</si>
  <si>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</si>
  <si>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</si>
  <si>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</si>
  <si>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</si>
  <si>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</si>
  <si>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</si>
  <si>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</si>
  <si>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</si>
  <si>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</si>
  <si>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</si>
  <si>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</si>
  <si>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</si>
  <si>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</si>
  <si>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</si>
  <si>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</si>
  <si>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</si>
  <si>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</si>
  <si>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</si>
  <si>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</si>
  <si>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</si>
  <si>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</si>
  <si>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</si>
  <si>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</si>
  <si>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</si>
  <si>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</si>
  <si>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</si>
  <si>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</si>
  <si>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</si>
  <si>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</si>
  <si>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</si>
  <si>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</si>
  <si>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</si>
  <si>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</si>
  <si>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</si>
  <si>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</si>
  <si>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</si>
  <si>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</si>
  <si>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</si>
  <si>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</si>
  <si>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</si>
  <si>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</si>
  <si>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</si>
  <si>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</si>
  <si>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</si>
  <si>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</si>
  <si>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</si>
  <si>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</si>
  <si>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</si>
  <si>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</si>
  <si>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</si>
  <si>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</si>
  <si>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</si>
  <si>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</si>
  <si>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</si>
  <si>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</si>
  <si>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</si>
  <si>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</si>
  <si>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</si>
  <si>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</si>
  <si>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</si>
  <si>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</si>
  <si>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</si>
  <si>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</si>
  <si>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</si>
  <si>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</si>
  <si>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</si>
  <si>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</si>
  <si>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</si>
  <si>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</si>
  <si>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</si>
  <si>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</si>
  <si>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</si>
  <si>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</si>
  <si>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</si>
  <si>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</si>
  <si>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</si>
  <si>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</si>
  <si>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</si>
  <si>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</si>
  <si>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</si>
  <si>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</si>
  <si>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</si>
  <si>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</si>
  <si>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</si>
  <si>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</si>
  <si>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</si>
  <si>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</si>
  <si>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</si>
  <si>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</si>
  <si>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</si>
  <si>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</si>
  <si>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</si>
  <si>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</si>
  <si>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</si>
  <si>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</si>
  <si>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</si>
  <si>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</si>
  <si>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</si>
  <si>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</si>
  <si>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</si>
  <si>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</si>
  <si>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</si>
  <si>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</si>
  <si>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</si>
  <si>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</si>
  <si>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</si>
  <si>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</si>
  <si>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</si>
  <si>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</si>
  <si>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</si>
  <si>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</si>
  <si>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</si>
  <si>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</si>
  <si>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</si>
  <si>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</si>
  <si>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</si>
  <si>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</si>
  <si>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</si>
  <si>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</si>
  <si>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</si>
  <si>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</si>
  <si>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</si>
  <si>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</si>
  <si>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</si>
  <si>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</si>
  <si>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</si>
  <si>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</si>
  <si>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</si>
  <si>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</si>
  <si>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</si>
  <si>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</si>
  <si>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</si>
  <si>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</si>
  <si>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</si>
  <si>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</si>
  <si>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</si>
  <si>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</si>
  <si>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</si>
  <si>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</si>
  <si>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</si>
  <si>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</si>
  <si>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</si>
  <si>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</si>
  <si>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</si>
  <si>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</si>
  <si>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</si>
  <si>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</si>
  <si>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</si>
  <si>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</si>
  <si>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</si>
  <si>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</si>
  <si>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</si>
  <si>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</si>
  <si>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</si>
  <si>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</si>
  <si>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</si>
  <si>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</si>
  <si>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</si>
  <si>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</si>
  <si>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</si>
  <si>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</si>
  <si>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</si>
  <si>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</si>
  <si>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</si>
  <si>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</si>
  <si>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</si>
  <si>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</si>
  <si>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</si>
  <si>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</si>
  <si>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</si>
  <si>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</si>
  <si>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</si>
  <si>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</si>
  <si>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</si>
  <si>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</si>
  <si>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</si>
  <si>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</si>
  <si>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</si>
  <si>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</si>
  <si>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</si>
  <si>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</si>
  <si>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</si>
  <si>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</si>
  <si>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</si>
  <si>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</si>
  <si>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</si>
  <si>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</si>
  <si>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</si>
  <si>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</si>
  <si>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</si>
  <si>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</si>
  <si>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</si>
  <si>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</si>
  <si>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</si>
  <si>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</si>
  <si>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</si>
  <si>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</si>
  <si>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</si>
  <si>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</si>
  <si>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</si>
  <si>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</si>
  <si>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</si>
  <si>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</si>
  <si>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</si>
  <si>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</si>
  <si>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</si>
  <si>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</si>
  <si>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</si>
  <si>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</si>
  <si>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</si>
  <si>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</si>
  <si>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</si>
  <si>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</si>
  <si>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</si>
  <si>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</si>
  <si>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</si>
  <si>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</si>
  <si>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</si>
  <si>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</si>
  <si>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</si>
  <si>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</si>
  <si>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</si>
  <si>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</si>
  <si>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</si>
  <si>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</si>
  <si>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</si>
  <si>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</si>
  <si>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</si>
  <si>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</si>
  <si>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</si>
  <si>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</si>
  <si>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</si>
  <si>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</si>
  <si>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</si>
  <si>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</si>
  <si>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</si>
  <si>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</si>
  <si>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</si>
  <si>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</si>
  <si>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</si>
  <si>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</si>
  <si>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</si>
  <si>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</si>
  <si>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</si>
  <si>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</si>
  <si>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</si>
  <si>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</si>
  <si>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</si>
  <si>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</si>
  <si>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</si>
  <si>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</si>
  <si>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</si>
  <si>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</si>
  <si>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</si>
  <si>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</si>
  <si>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</si>
  <si>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</si>
  <si>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</si>
  <si>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</si>
  <si>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</si>
  <si>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</si>
  <si>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</si>
  <si>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</si>
  <si>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</si>
  <si>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</si>
  <si>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</si>
  <si>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</si>
  <si>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</si>
  <si>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</si>
  <si>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</si>
  <si>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</si>
  <si>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</si>
  <si>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</si>
  <si>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</si>
  <si>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</si>
  <si>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</si>
  <si>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</si>
  <si>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</si>
  <si>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</si>
  <si>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</si>
  <si>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</si>
  <si>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</si>
  <si>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</si>
  <si>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</si>
  <si>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</si>
  <si>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</si>
  <si>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</si>
  <si>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</si>
  <si>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</si>
  <si>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</si>
  <si>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</si>
  <si>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</si>
  <si>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</si>
  <si>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</si>
  <si>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</si>
  <si>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</si>
  <si>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</si>
  <si>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</si>
  <si>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</si>
  <si>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</si>
  <si>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</si>
  <si>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</si>
  <si>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</si>
  <si>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</si>
  <si>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</si>
  <si>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</si>
  <si>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</si>
  <si>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</si>
  <si>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</si>
  <si>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</si>
  <si>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</si>
  <si>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</si>
  <si>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</si>
  <si>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</si>
  <si>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</si>
  <si>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</si>
  <si>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</si>
  <si>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</si>
  <si>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</si>
  <si>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</si>
  <si>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</si>
  <si>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</si>
  <si>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</si>
  <si>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</si>
  <si>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</si>
  <si>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</si>
  <si>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</si>
  <si>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</si>
  <si>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</si>
  <si>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</si>
  <si>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</si>
  <si>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</si>
  <si>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</si>
  <si>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</si>
  <si>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</si>
  <si>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</si>
  <si>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</si>
  <si>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</si>
  <si>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</si>
  <si>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</si>
  <si>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</si>
  <si>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</si>
  <si>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</si>
  <si>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</si>
  <si>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</si>
  <si>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</si>
  <si>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</si>
  <si>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</si>
  <si>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</si>
  <si>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</si>
  <si>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</si>
  <si>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</si>
  <si>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</si>
  <si>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</si>
  <si>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</si>
  <si>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</si>
  <si>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</si>
  <si>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</si>
  <si>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</si>
  <si>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</si>
  <si>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</si>
  <si>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</si>
  <si>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</si>
  <si>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</si>
  <si>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</si>
  <si>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</si>
  <si>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</si>
  <si>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</si>
  <si>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</si>
  <si>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</si>
  <si>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</si>
  <si>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</si>
  <si>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</si>
  <si>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</si>
  <si>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</si>
  <si>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</si>
  <si>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</si>
  <si>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</si>
  <si>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</si>
  <si>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</si>
  <si>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</si>
  <si>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</si>
  <si>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</si>
  <si>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</si>
  <si>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</si>
  <si>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</si>
  <si>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</si>
  <si>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</si>
  <si>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</si>
  <si>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</si>
  <si>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</si>
  <si>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</si>
  <si>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</si>
  <si>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</si>
  <si>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</si>
  <si>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</si>
  <si>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</si>
  <si>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</si>
  <si>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</si>
  <si>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</si>
  <si>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</si>
  <si>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</si>
  <si>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</si>
  <si>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</si>
  <si>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</si>
  <si>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</si>
  <si>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</si>
  <si>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</si>
  <si>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</si>
  <si>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</si>
  <si>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</si>
  <si>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</si>
  <si>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</si>
  <si>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</si>
  <si>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</si>
  <si>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</si>
  <si>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</si>
  <si>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</si>
  <si>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</si>
  <si>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</si>
  <si>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</si>
  <si>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</si>
  <si>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</si>
  <si>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</si>
  <si>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</si>
  <si>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</si>
  <si>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</si>
  <si>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</si>
  <si>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</si>
  <si>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</si>
  <si>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</si>
  <si>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</si>
  <si>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</si>
  <si>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</si>
  <si>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</si>
  <si>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</si>
  <si>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</si>
  <si>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</si>
  <si>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</si>
  <si>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</si>
  <si>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</si>
  <si>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</si>
  <si>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</si>
  <si>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</si>
  <si>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</si>
  <si>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</si>
  <si>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</si>
  <si>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</si>
  <si>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</si>
  <si>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</si>
  <si>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</si>
  <si>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</si>
  <si>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</si>
  <si>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</si>
  <si>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</si>
  <si>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</si>
  <si>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</si>
  <si>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</si>
  <si>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</si>
  <si>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</si>
  <si>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</si>
  <si>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</si>
  <si>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</si>
  <si>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</si>
  <si>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</si>
  <si>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</si>
  <si>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</si>
  <si>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</si>
  <si>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</si>
  <si>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</si>
  <si>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</si>
  <si>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</si>
  <si>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</si>
  <si>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</si>
  <si>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</si>
  <si>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</si>
  <si>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</si>
  <si>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</si>
  <si>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</si>
  <si>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</si>
  <si>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</si>
  <si>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</si>
  <si>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</si>
  <si>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</si>
  <si>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</si>
  <si>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</si>
  <si>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</si>
  <si>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</si>
  <si>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</si>
  <si>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</si>
  <si>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</si>
  <si>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</si>
  <si>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</si>
  <si>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</si>
  <si>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</si>
  <si>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</si>
  <si>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</si>
  <si>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</si>
  <si>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</si>
  <si>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</si>
  <si>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</si>
  <si>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</si>
  <si>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</si>
  <si>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</si>
  <si>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</si>
  <si>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</si>
  <si>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</si>
  <si>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</si>
  <si>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</si>
  <si>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</si>
  <si>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</si>
  <si>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</si>
  <si>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</si>
  <si>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</si>
  <si>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</si>
  <si>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</si>
  <si>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</si>
  <si>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</si>
  <si>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</si>
  <si>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</si>
  <si>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</si>
  <si>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</si>
  <si>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</si>
  <si>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</si>
  <si>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</si>
  <si>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</si>
  <si>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</si>
  <si>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</si>
  <si>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</si>
  <si>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</si>
  <si>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</si>
  <si>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</si>
  <si>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</si>
  <si>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</si>
  <si>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</si>
  <si>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</si>
  <si>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</si>
  <si>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</si>
  <si>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</si>
  <si>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</si>
  <si>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</si>
  <si>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</si>
  <si>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</si>
  <si>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</si>
  <si>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</si>
  <si>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</si>
  <si>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</si>
  <si>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</si>
  <si>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</si>
  <si>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</si>
  <si>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</si>
  <si>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</si>
  <si>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</si>
  <si>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</si>
  <si>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</si>
  <si>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</si>
  <si>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</si>
  <si>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</si>
  <si>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</si>
  <si>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</si>
  <si>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</si>
  <si>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</si>
  <si>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</si>
  <si>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</si>
  <si>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</si>
  <si>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</si>
  <si>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</si>
  <si>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</si>
  <si>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</si>
  <si>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</si>
  <si>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</si>
  <si>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</si>
  <si>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</si>
  <si>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</si>
  <si>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</si>
  <si>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</si>
  <si>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</si>
  <si>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</si>
  <si>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</si>
  <si>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</si>
  <si>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</si>
  <si>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</si>
  <si>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</si>
  <si>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</si>
  <si>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</si>
  <si>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</si>
  <si>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</si>
  <si>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</si>
  <si>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</si>
  <si>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</si>
  <si>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</si>
  <si>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</si>
  <si>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</si>
  <si>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</si>
  <si>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</si>
  <si>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</si>
  <si>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</si>
  <si>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</si>
  <si>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</si>
  <si>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</si>
  <si>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</si>
  <si>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</si>
  <si>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</si>
  <si>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</si>
  <si>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</si>
  <si>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</si>
  <si>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</si>
  <si>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</si>
  <si>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</si>
  <si>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</si>
  <si>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</si>
  <si>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</si>
  <si>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</si>
  <si>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</si>
  <si>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</si>
  <si>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</si>
  <si>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</si>
  <si>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</si>
  <si>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</si>
  <si>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</si>
  <si>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</si>
  <si>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</si>
  <si>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</si>
  <si>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</si>
  <si>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</si>
  <si>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</si>
  <si>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</si>
  <si>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</si>
  <si>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</si>
  <si>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</si>
  <si>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</si>
  <si>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</si>
  <si>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</si>
  <si>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</si>
  <si>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</si>
  <si>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</si>
  <si>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</si>
  <si>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</si>
  <si>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</si>
  <si>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</si>
  <si>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</si>
  <si>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</si>
  <si>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</si>
  <si>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</si>
  <si>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</si>
  <si>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</si>
  <si>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</si>
  <si>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</si>
  <si>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</si>
  <si>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</si>
  <si>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</si>
  <si>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</si>
  <si>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</si>
  <si>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</si>
  <si>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</si>
  <si>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</si>
  <si>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</si>
  <si>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</si>
  <si>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</si>
  <si>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</si>
  <si>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</si>
  <si>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</si>
  <si>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</si>
  <si>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</si>
  <si>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</si>
  <si>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</si>
  <si>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</si>
  <si>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</si>
  <si>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</si>
  <si>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</si>
  <si>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</si>
  <si>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</si>
  <si>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</si>
  <si>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</si>
  <si>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</si>
  <si>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</si>
  <si>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</si>
  <si>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</si>
  <si>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</si>
  <si>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</si>
  <si>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</si>
  <si>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</si>
  <si>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</si>
  <si>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</si>
  <si>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</si>
  <si>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</si>
  <si>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</si>
  <si>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</si>
  <si>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</si>
  <si>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</si>
  <si>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</si>
  <si>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</si>
  <si>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</si>
  <si>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</si>
  <si>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</si>
  <si>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</si>
  <si>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</si>
  <si>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</si>
  <si>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</si>
  <si>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</si>
  <si>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</si>
  <si>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</si>
  <si>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</si>
  <si>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</si>
  <si>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</si>
  <si>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</si>
  <si>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</si>
  <si>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</si>
  <si>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</si>
  <si>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</si>
  <si>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</si>
  <si>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</si>
  <si>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</si>
  <si>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</si>
  <si>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</si>
  <si>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</si>
  <si>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</si>
  <si>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</si>
  <si>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</si>
  <si>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</si>
  <si>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</si>
  <si>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</si>
  <si>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</si>
  <si>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</si>
  <si>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</si>
  <si>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</si>
  <si>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</si>
  <si>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</si>
  <si>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</si>
  <si>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</si>
  <si>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</si>
  <si>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</si>
  <si>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</si>
  <si>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</si>
  <si>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</si>
  <si>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</si>
  <si>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</si>
  <si>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</si>
  <si>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</si>
  <si>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</si>
  <si>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</si>
  <si>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</si>
  <si>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</si>
  <si>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</si>
  <si>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</si>
  <si>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</si>
  <si>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</si>
  <si>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</si>
  <si>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</si>
  <si>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</si>
  <si>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</si>
  <si>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</si>
  <si>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</si>
  <si>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</si>
  <si>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</si>
  <si>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</si>
  <si>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</si>
  <si>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</si>
  <si>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</si>
  <si>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</si>
  <si>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</si>
  <si>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</si>
  <si>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</si>
  <si>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</si>
  <si>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</si>
  <si>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</si>
  <si>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</si>
  <si>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</si>
  <si>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</si>
  <si>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</si>
  <si>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</si>
  <si>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</si>
  <si>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</si>
  <si>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</si>
  <si>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</si>
  <si>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</si>
  <si>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</si>
  <si>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</si>
  <si>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</si>
  <si>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</si>
  <si>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</si>
  <si>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</si>
  <si>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</si>
  <si>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</si>
  <si>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</si>
  <si>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</si>
  <si>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</si>
  <si>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</si>
  <si>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</si>
  <si>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</si>
  <si>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</si>
  <si>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</si>
  <si>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</si>
  <si>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</si>
  <si>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</si>
  <si>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</si>
  <si>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</si>
  <si>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</si>
  <si>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</si>
  <si>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</si>
  <si>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</si>
  <si>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</si>
  <si>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</si>
  <si>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</si>
  <si>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</si>
  <si>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</si>
  <si>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</si>
  <si>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</si>
  <si>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</si>
  <si>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</si>
  <si>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</si>
  <si>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</si>
  <si>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</si>
  <si>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</si>
  <si>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</si>
  <si>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</si>
  <si>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</si>
  <si>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</si>
  <si>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</si>
  <si>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</si>
  <si>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</si>
  <si>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</si>
  <si>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</si>
  <si>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</si>
  <si>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</si>
  <si>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</si>
  <si>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</si>
  <si>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</si>
  <si>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</si>
  <si>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</si>
  <si>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</si>
  <si>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</si>
  <si>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</si>
  <si>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</si>
  <si>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</si>
  <si>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</si>
  <si>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</si>
  <si>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</si>
  <si>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</si>
  <si>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</si>
  <si>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</si>
  <si>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</si>
  <si>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</si>
  <si>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</si>
  <si>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</si>
  <si>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</si>
  <si>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</si>
  <si>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</si>
  <si>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</si>
  <si>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</si>
  <si>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</si>
  <si>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</si>
  <si>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</si>
  <si>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</si>
  <si>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</si>
  <si>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</si>
  <si>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</si>
  <si>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</si>
  <si>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</si>
  <si>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</si>
  <si>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</si>
  <si>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</si>
  <si>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</si>
  <si>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</si>
  <si>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</si>
  <si>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</si>
  <si>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</si>
  <si>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</si>
  <si>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</si>
  <si>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</si>
  <si>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</si>
  <si>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</si>
  <si>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</si>
  <si>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</si>
  <si>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</si>
  <si>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</si>
  <si>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</si>
  <si>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</si>
  <si>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</si>
  <si>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</si>
  <si>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</si>
  <si>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</si>
  <si>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</si>
  <si>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</si>
  <si>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</si>
  <si>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</si>
  <si>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</si>
  <si>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</si>
  <si>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</si>
  <si>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</si>
  <si>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</si>
  <si>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</si>
  <si>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</si>
  <si>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</si>
  <si>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</si>
  <si>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</si>
  <si>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</si>
  <si>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</si>
  <si>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</si>
  <si>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</si>
  <si>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</si>
  <si>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</si>
  <si>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</si>
  <si>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</si>
  <si>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</si>
  <si>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</si>
  <si>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</si>
  <si>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</si>
  <si>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</si>
  <si>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</si>
  <si>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</si>
  <si>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</si>
  <si>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</si>
  <si>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</si>
  <si>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</si>
  <si>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</si>
  <si>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</si>
  <si>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</si>
  <si>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</si>
  <si>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</si>
  <si>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</si>
  <si>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</si>
  <si>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</si>
  <si>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</si>
  <si>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</si>
  <si>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</si>
  <si>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</si>
  <si>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</si>
  <si>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</si>
  <si>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</si>
  <si>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</si>
  <si>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</si>
  <si>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</si>
  <si>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</si>
  <si>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</si>
  <si>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</si>
  <si>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</si>
  <si>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</si>
  <si>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</si>
  <si>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</si>
  <si>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</si>
  <si>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</si>
  <si>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</si>
  <si>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</si>
  <si>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</si>
  <si>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</si>
  <si>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</si>
  <si>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</si>
  <si>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</si>
  <si>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</si>
  <si>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</si>
  <si>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</si>
  <si>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</si>
  <si>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</si>
  <si>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</si>
  <si>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</si>
  <si>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</si>
  <si>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</si>
  <si>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</si>
  <si>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</si>
  <si>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</si>
  <si>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</si>
  <si>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</si>
  <si>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</si>
  <si>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</si>
  <si>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</si>
  <si>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</si>
  <si>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</si>
  <si>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</si>
  <si>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</si>
  <si>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</si>
  <si>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</si>
  <si>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</si>
  <si>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</si>
  <si>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</si>
  <si>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</si>
  <si>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</si>
  <si>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</si>
  <si>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</si>
  <si>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</si>
  <si>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</si>
  <si>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</si>
  <si>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</si>
  <si>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</si>
  <si>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</si>
  <si>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</si>
  <si>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</si>
  <si>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</si>
  <si>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</si>
  <si>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</si>
  <si>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</si>
  <si>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</si>
  <si>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</si>
  <si>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</si>
  <si>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</si>
  <si>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</si>
  <si>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</si>
  <si>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</si>
  <si>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</si>
  <si>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</si>
  <si>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</si>
  <si>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</si>
  <si>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</si>
  <si>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</si>
  <si>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</si>
  <si>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</si>
  <si>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</si>
  <si>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</si>
  <si>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</si>
  <si>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</si>
  <si>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</si>
  <si>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</si>
  <si>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</si>
  <si>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</si>
  <si>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</si>
  <si>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</si>
  <si>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</si>
  <si>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</si>
  <si>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</si>
  <si>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</si>
  <si>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</si>
  <si>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</si>
  <si>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</si>
  <si>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</si>
  <si>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</si>
  <si>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</si>
  <si>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</si>
  <si>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</si>
  <si>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</si>
  <si>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</si>
  <si>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</si>
  <si>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</si>
  <si>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</si>
  <si>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</si>
  <si>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</si>
  <si>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</si>
  <si>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</si>
  <si>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</si>
  <si>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</si>
  <si>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</si>
  <si>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</si>
  <si>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</si>
  <si>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</si>
  <si>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</si>
  <si>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</si>
  <si>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</si>
  <si>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</si>
  <si>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</si>
  <si>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</si>
  <si>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</si>
  <si>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</si>
  <si>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</si>
  <si>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</si>
  <si>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</si>
  <si>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</si>
  <si>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</si>
  <si>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</si>
  <si>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</si>
  <si>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</si>
  <si>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</si>
  <si>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</si>
  <si>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</si>
  <si>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</si>
  <si>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</si>
  <si>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</si>
  <si>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</si>
  <si>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</si>
  <si>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</si>
  <si>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</si>
  <si>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</si>
  <si>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</si>
  <si>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</si>
  <si>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</si>
  <si>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</si>
  <si>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</si>
  <si>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</si>
  <si>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</si>
  <si>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</si>
  <si>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</si>
  <si>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</si>
  <si>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</si>
  <si>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</si>
  <si>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</si>
  <si>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</si>
  <si>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</si>
  <si>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</si>
  <si>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</si>
  <si>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</si>
  <si>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</si>
  <si>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</si>
  <si>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</si>
  <si>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</si>
  <si>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</si>
  <si>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</si>
  <si>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</si>
  <si>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</si>
  <si>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</si>
  <si>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</si>
  <si>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</si>
  <si>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</si>
  <si>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</si>
  <si>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</si>
  <si>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</si>
  <si>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</si>
  <si>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</si>
  <si>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</si>
  <si>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</si>
  <si>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</si>
  <si>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</si>
  <si>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</si>
  <si>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</si>
  <si>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</si>
  <si>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</si>
  <si>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</si>
  <si>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</si>
  <si>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</si>
  <si>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</si>
  <si>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</si>
  <si>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</si>
  <si>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</si>
  <si>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</si>
  <si>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</si>
  <si>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</si>
  <si>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</si>
  <si>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</si>
  <si>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</si>
  <si>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</si>
  <si>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</si>
  <si>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</si>
  <si>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</si>
  <si>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</si>
  <si>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</si>
  <si>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</si>
  <si>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</si>
  <si>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</si>
  <si>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</si>
  <si>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</si>
  <si>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</si>
  <si>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</si>
  <si>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</si>
  <si>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</si>
  <si>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</si>
  <si>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</si>
  <si>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</si>
  <si>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</si>
  <si>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</si>
  <si>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</si>
  <si>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</si>
  <si>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</si>
  <si>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</si>
  <si>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</si>
  <si>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</si>
  <si>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</si>
  <si>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</si>
  <si>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</si>
  <si>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</si>
  <si>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</si>
  <si>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</si>
  <si>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</si>
  <si>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</si>
  <si>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</si>
  <si>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</si>
  <si>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</si>
  <si>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</si>
  <si>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</si>
  <si>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</si>
  <si>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</si>
  <si>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</si>
  <si>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</si>
  <si>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</si>
  <si>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</si>
  <si>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</si>
  <si>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</si>
  <si>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</si>
  <si>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</si>
  <si>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</si>
  <si>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</si>
  <si>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</si>
  <si>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</si>
  <si>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</si>
  <si>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</si>
  <si>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</si>
  <si>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</si>
  <si>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</si>
  <si>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</si>
  <si>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</si>
  <si>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</si>
  <si>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</si>
  <si>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</si>
  <si>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</si>
  <si>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</si>
  <si>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</si>
  <si>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</si>
  <si>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</si>
  <si>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</si>
  <si>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</si>
  <si>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</si>
  <si>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</si>
  <si>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</si>
  <si>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</si>
  <si>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</si>
  <si>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</si>
  <si>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</si>
  <si>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</si>
  <si>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</si>
  <si>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</si>
  <si>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</si>
  <si>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</si>
  <si>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</si>
  <si>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</si>
  <si>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</si>
  <si>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</si>
  <si>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</si>
  <si>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</si>
  <si>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</si>
  <si>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</si>
  <si>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</si>
  <si>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</si>
  <si>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</si>
  <si>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</si>
  <si>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</si>
  <si>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</si>
  <si>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</si>
  <si>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</si>
  <si>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</si>
  <si>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</si>
  <si>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</si>
  <si>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</si>
  <si>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</si>
  <si>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</si>
  <si>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</si>
  <si>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</si>
  <si>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</si>
  <si>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</si>
  <si>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</si>
  <si>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</si>
  <si>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</si>
  <si>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</si>
  <si>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</si>
  <si>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</si>
  <si>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</si>
  <si>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</si>
  <si>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</si>
  <si>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</si>
  <si>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</si>
  <si>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</si>
  <si>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</si>
  <si>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</si>
  <si>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</si>
  <si>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</si>
  <si>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</si>
  <si>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</si>
  <si>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</si>
  <si>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</si>
  <si>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</si>
  <si>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</si>
  <si>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</si>
  <si>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</si>
  <si>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</si>
  <si>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</si>
  <si>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</si>
  <si>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</si>
  <si>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</si>
  <si>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</si>
  <si>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</si>
  <si>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</si>
  <si>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</si>
  <si>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</si>
  <si>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</si>
  <si>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</si>
  <si>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</si>
  <si>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</si>
  <si>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</si>
  <si>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</si>
  <si>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</si>
  <si>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</si>
  <si>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</si>
  <si>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</si>
  <si>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</si>
  <si>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</si>
  <si>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</si>
  <si>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</si>
  <si>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</si>
  <si>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</si>
  <si>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</si>
  <si>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</si>
  <si>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</si>
  <si>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</si>
  <si>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</si>
  <si>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</si>
  <si>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</si>
  <si>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</si>
  <si>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</si>
  <si>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</si>
  <si>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</si>
  <si>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</si>
  <si>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</si>
  <si>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</si>
  <si>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</si>
  <si>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</si>
  <si>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</si>
  <si>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</si>
  <si>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</si>
  <si>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</si>
  <si>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</si>
  <si>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</si>
  <si>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</si>
  <si>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</si>
  <si>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</si>
  <si>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</si>
  <si>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</si>
  <si>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</si>
  <si>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</si>
  <si>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</si>
  <si>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</si>
  <si>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</si>
  <si>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</si>
  <si>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</si>
  <si>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</si>
  <si>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</si>
  <si>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</si>
  <si>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</si>
  <si>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</si>
  <si>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</si>
  <si>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</si>
  <si>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</si>
  <si>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</si>
  <si>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</si>
  <si>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</si>
  <si>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</si>
  <si>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</si>
  <si>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</si>
  <si>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</si>
  <si>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</si>
  <si>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</si>
  <si>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</si>
  <si>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</si>
  <si>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</si>
  <si>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</si>
  <si>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</si>
  <si>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</si>
  <si>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</si>
  <si>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</si>
  <si>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</si>
  <si>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</si>
  <si>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</si>
  <si>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</si>
  <si>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</si>
  <si>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</si>
  <si>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</si>
  <si>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</si>
  <si>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</si>
  <si>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</si>
  <si>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</si>
  <si>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</si>
  <si>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</si>
  <si>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</si>
  <si>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</si>
  <si>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</si>
  <si>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</si>
  <si>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</si>
  <si>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</si>
  <si>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</si>
  <si>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</si>
  <si>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</si>
  <si>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</si>
  <si>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</si>
  <si>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</si>
  <si>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</si>
  <si>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</si>
  <si>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</si>
  <si>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</si>
  <si>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</si>
  <si>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</si>
  <si>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</si>
  <si>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</si>
  <si>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</si>
  <si>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</si>
  <si>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</si>
  <si>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</si>
  <si>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</si>
  <si>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</si>
  <si>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</si>
  <si>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</si>
  <si>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</si>
  <si>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</si>
  <si>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</si>
  <si>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</si>
  <si>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</si>
  <si>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</si>
  <si>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</si>
  <si>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</si>
  <si>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</si>
  <si>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</si>
  <si>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</si>
  <si>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</si>
  <si>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</si>
  <si>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</si>
  <si>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</si>
  <si>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</si>
  <si>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</si>
  <si>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</si>
  <si>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</si>
  <si>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</si>
  <si>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</si>
  <si>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</si>
  <si>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</si>
  <si>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</si>
  <si>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</si>
  <si>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</si>
  <si>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</si>
  <si>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</si>
  <si>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</si>
  <si>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</si>
  <si>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</si>
  <si>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</si>
  <si>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</si>
  <si>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</si>
  <si>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</si>
  <si>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</si>
  <si>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</si>
  <si>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</si>
  <si>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</si>
  <si>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</si>
  <si>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</si>
  <si>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</si>
  <si>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</si>
  <si>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</si>
  <si>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</si>
  <si>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</si>
  <si>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</si>
  <si>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</si>
  <si>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</si>
  <si>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</si>
  <si>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</si>
  <si>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</si>
  <si>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</si>
  <si>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</si>
  <si>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</si>
  <si>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</si>
  <si>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</si>
  <si>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</si>
  <si>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</si>
  <si>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</si>
  <si>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</si>
  <si>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</si>
  <si>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</si>
  <si>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</si>
  <si>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</si>
  <si>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</si>
  <si>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</si>
  <si>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</si>
  <si>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</si>
  <si>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</si>
  <si>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</si>
  <si>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</si>
  <si>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</si>
  <si>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</si>
  <si>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</si>
  <si>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</si>
  <si>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</si>
  <si>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</si>
  <si>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</si>
  <si>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</si>
  <si>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</si>
  <si>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</si>
  <si>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</si>
  <si>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</si>
  <si>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</si>
  <si>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</si>
  <si>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</si>
  <si>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</si>
  <si>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</si>
  <si>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</si>
  <si>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</si>
  <si>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</si>
  <si>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</si>
  <si>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</si>
  <si>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</si>
  <si>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</si>
  <si>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</si>
  <si>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</si>
  <si>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</si>
  <si>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</si>
  <si>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</si>
  <si>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</si>
  <si>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</si>
  <si>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</si>
  <si>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</si>
  <si>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</si>
  <si>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</si>
  <si>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</si>
  <si>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</si>
  <si>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</si>
  <si>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</si>
  <si>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</si>
  <si>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</si>
  <si>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</si>
  <si>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</si>
  <si>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</si>
  <si>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</si>
  <si>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</si>
  <si>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</si>
  <si>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</si>
  <si>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</si>
  <si>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</si>
  <si>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</si>
  <si>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</si>
  <si>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</si>
  <si>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</si>
  <si>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</si>
  <si>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</si>
  <si>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</si>
  <si>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</si>
  <si>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</si>
  <si>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</si>
  <si>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</si>
  <si>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</si>
  <si>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</si>
  <si>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</si>
  <si>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</si>
  <si>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</si>
  <si>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</si>
  <si>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</si>
  <si>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</si>
  <si>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</si>
  <si>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</si>
  <si>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</si>
  <si>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</si>
  <si>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</si>
  <si>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</si>
  <si>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</si>
  <si>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</si>
  <si>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</si>
  <si>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</si>
  <si>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</si>
  <si>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</si>
  <si>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</si>
  <si>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</si>
  <si>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</si>
  <si>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</si>
  <si>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</si>
  <si>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</si>
  <si>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</si>
  <si>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</si>
  <si>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</si>
  <si>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</si>
  <si>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</si>
  <si>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</si>
  <si>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</si>
  <si>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</si>
  <si>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</si>
  <si>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</si>
  <si>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</si>
  <si>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</si>
  <si>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</si>
  <si>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</si>
  <si>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</si>
  <si>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</si>
  <si>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</si>
  <si>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</si>
  <si>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</si>
  <si>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</si>
  <si>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</si>
  <si>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</si>
  <si>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</si>
  <si>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</si>
  <si>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</si>
  <si>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</si>
  <si>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</si>
  <si>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</si>
  <si>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</si>
  <si>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</si>
  <si>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</si>
  <si>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</si>
  <si>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</si>
  <si>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</si>
  <si>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</si>
  <si>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</si>
  <si>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</si>
  <si>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</si>
  <si>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</si>
  <si>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</si>
  <si>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</si>
  <si>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</si>
  <si>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</si>
  <si>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</si>
  <si>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</si>
  <si>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</si>
  <si>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</si>
  <si>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</si>
  <si>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</si>
  <si>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</si>
  <si>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</si>
  <si>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</si>
  <si>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</si>
  <si>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</si>
  <si>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</si>
  <si>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</si>
  <si>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</si>
  <si>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</si>
  <si>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</si>
  <si>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</si>
  <si>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</si>
  <si>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</si>
  <si>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</si>
  <si>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</si>
  <si>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</si>
  <si>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</si>
  <si>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</si>
  <si>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</si>
  <si>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</si>
  <si>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</si>
  <si>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</si>
  <si>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</si>
  <si>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</si>
  <si>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</si>
  <si>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</si>
  <si>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</si>
  <si>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</si>
  <si>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</si>
  <si>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</si>
  <si>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</si>
  <si>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</si>
  <si>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</si>
  <si>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</si>
  <si>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</si>
  <si>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</si>
  <si>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</si>
  <si>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</si>
  <si>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</si>
  <si>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</si>
  <si>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</si>
  <si>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</si>
  <si>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</si>
  <si>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</si>
  <si>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</si>
  <si>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</si>
  <si>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</si>
  <si>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</si>
  <si>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</si>
  <si>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</si>
  <si>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</si>
  <si>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</si>
  <si>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</si>
  <si>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</si>
  <si>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</si>
  <si>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</si>
  <si>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</si>
  <si>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</si>
  <si>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</si>
  <si>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</si>
  <si>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</si>
  <si>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</si>
  <si>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</si>
  <si>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</si>
  <si>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</si>
  <si>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</si>
  <si>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</si>
  <si>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</si>
  <si>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</si>
  <si>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</si>
  <si>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</si>
  <si>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</si>
  <si>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</si>
  <si>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</si>
  <si>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</si>
  <si>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</si>
  <si>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</si>
  <si>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</si>
  <si>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</si>
  <si>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</si>
  <si>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</si>
  <si>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</si>
  <si>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</si>
  <si>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</si>
  <si>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</si>
  <si>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</si>
  <si>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</si>
  <si>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</si>
  <si>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</si>
  <si>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</si>
  <si>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</si>
  <si>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</si>
  <si>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</si>
  <si>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</si>
  <si>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</si>
  <si>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</si>
  <si>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</si>
  <si>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</si>
  <si>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</si>
  <si>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</si>
  <si>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</si>
  <si>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</si>
  <si>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</si>
  <si>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</si>
  <si>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</si>
  <si>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</si>
  <si>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</si>
  <si>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</si>
  <si>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</si>
  <si>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</si>
  <si>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</si>
  <si>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</si>
  <si>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</si>
  <si>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</si>
  <si>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</si>
  <si>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</si>
  <si>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</si>
  <si>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</si>
  <si>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</si>
  <si>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</si>
  <si>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</si>
  <si>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</si>
  <si>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</si>
  <si>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</si>
  <si>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</si>
  <si>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</si>
  <si>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</si>
  <si>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</si>
  <si>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</si>
  <si>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</si>
  <si>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</si>
  <si>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</si>
  <si>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</si>
  <si>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</si>
  <si>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</si>
  <si>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</si>
  <si>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</si>
  <si>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</si>
  <si>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</si>
  <si>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</si>
  <si>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</si>
  <si>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</si>
  <si>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</si>
  <si>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</si>
  <si>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</si>
  <si>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</si>
  <si>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</si>
  <si>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</si>
  <si>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</si>
  <si>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</si>
  <si>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</si>
  <si>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</si>
  <si>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</si>
  <si>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</si>
  <si>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</si>
  <si>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</si>
  <si>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</si>
  <si>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</si>
  <si>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</si>
  <si>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</si>
  <si>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</si>
  <si>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</si>
  <si>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</si>
  <si>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</si>
  <si>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</si>
  <si>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</si>
  <si>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</si>
  <si>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</si>
  <si>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</si>
  <si>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</si>
  <si>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</si>
  <si>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</si>
  <si>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</si>
  <si>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</si>
  <si>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</si>
  <si>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</si>
  <si>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</si>
  <si>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</si>
  <si>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</si>
  <si>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</si>
  <si>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</si>
  <si>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</si>
  <si>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</si>
  <si>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</si>
  <si>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</si>
  <si>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</si>
  <si>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</si>
  <si>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</si>
  <si>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</si>
  <si>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</si>
  <si>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</si>
  <si>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</si>
  <si>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</si>
  <si>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</si>
  <si>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</si>
  <si>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</si>
  <si>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</si>
  <si>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</si>
  <si>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</si>
  <si>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</si>
  <si>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</si>
  <si>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</si>
  <si>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</si>
  <si>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</si>
  <si>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</si>
  <si>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</si>
  <si>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</si>
  <si>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</si>
  <si>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</si>
  <si>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</si>
  <si>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</si>
  <si>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</si>
  <si>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</si>
  <si>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</si>
  <si>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</si>
  <si>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</si>
  <si>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</si>
  <si>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</si>
  <si>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</si>
  <si>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</si>
  <si>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</si>
  <si>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</si>
  <si>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</si>
  <si>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</si>
  <si>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</si>
  <si>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</si>
  <si>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</si>
  <si>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</si>
  <si>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</si>
  <si>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</si>
  <si>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</si>
  <si>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</si>
  <si>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</si>
  <si>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</si>
  <si>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</si>
  <si>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</si>
  <si>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</si>
  <si>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</si>
  <si>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</si>
  <si>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</si>
  <si>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</si>
  <si>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</si>
  <si>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</si>
  <si>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</si>
  <si>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</si>
  <si>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</si>
  <si>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</si>
  <si>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</si>
  <si>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</si>
  <si>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</si>
  <si>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</si>
  <si>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</si>
  <si>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</si>
  <si>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</si>
  <si>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</si>
  <si>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</si>
  <si>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</si>
  <si>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</si>
  <si>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</si>
  <si>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</si>
  <si>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</si>
  <si>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</si>
  <si>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</si>
  <si>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</si>
  <si>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</si>
  <si>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</si>
  <si>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</si>
  <si>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</si>
  <si>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</si>
  <si>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</si>
  <si>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</si>
  <si>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</si>
  <si>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</si>
  <si>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</si>
  <si>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</si>
  <si>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</si>
  <si>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</si>
  <si>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</si>
  <si>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</si>
  <si>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</si>
  <si>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</si>
  <si>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</si>
  <si>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</si>
  <si>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</si>
  <si>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</si>
  <si>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</si>
  <si>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</si>
  <si>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</si>
  <si>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</si>
  <si>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</si>
  <si>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</si>
  <si>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</si>
  <si>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</si>
  <si>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</si>
  <si>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</si>
  <si>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</si>
  <si>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</si>
  <si>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</si>
  <si>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</si>
  <si>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</si>
  <si>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</si>
  <si>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</si>
  <si>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</si>
  <si>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</si>
  <si>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</si>
  <si>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</si>
  <si>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</si>
  <si>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</si>
  <si>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</si>
  <si>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</si>
  <si>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</si>
  <si>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</si>
  <si>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</si>
  <si>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</si>
  <si>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</si>
  <si>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</si>
  <si>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</si>
  <si>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</si>
  <si>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</si>
  <si>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</si>
  <si>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</si>
  <si>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</si>
  <si>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</si>
  <si>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</si>
  <si>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</si>
  <si>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</si>
  <si>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</si>
  <si>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</si>
  <si>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</si>
  <si>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</si>
  <si>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</si>
  <si>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</si>
  <si>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</si>
  <si>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</si>
  <si>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</si>
  <si>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</si>
  <si>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</si>
  <si>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</si>
  <si>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</si>
  <si>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</si>
  <si>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</si>
  <si>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</si>
  <si>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</si>
  <si>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</si>
  <si>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</si>
  <si>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</si>
  <si>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</si>
  <si>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</si>
  <si>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</si>
  <si>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</si>
  <si>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</si>
  <si>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</si>
  <si>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</si>
  <si>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</si>
  <si>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</si>
  <si>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</si>
  <si>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</si>
  <si>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</si>
  <si>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</si>
  <si>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</si>
  <si>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</si>
  <si>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</si>
  <si>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</si>
  <si>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</si>
  <si>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</si>
  <si>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</si>
  <si>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</si>
  <si>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</si>
  <si>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</si>
  <si>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</si>
  <si>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</si>
  <si>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</si>
  <si>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</si>
  <si>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</si>
  <si>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</si>
  <si>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</si>
  <si>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</si>
  <si>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</si>
  <si>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</si>
  <si>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</si>
  <si>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</si>
  <si>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</si>
  <si>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</si>
  <si>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</si>
  <si>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</si>
  <si>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</si>
  <si>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</si>
  <si>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</si>
  <si>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</si>
  <si>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</si>
  <si>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</si>
  <si>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</si>
  <si>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</si>
  <si>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</si>
  <si>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</si>
  <si>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</si>
  <si>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</si>
  <si>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</si>
  <si>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</si>
  <si>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</si>
  <si>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</si>
  <si>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</si>
  <si>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</si>
  <si>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</si>
  <si>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</si>
  <si>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</si>
  <si>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</si>
  <si>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</si>
  <si>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</si>
  <si>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</si>
  <si>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</si>
  <si>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</si>
  <si>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</si>
  <si>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</si>
  <si>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</si>
  <si>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</si>
  <si>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</si>
  <si>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</si>
  <si>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</si>
  <si>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</si>
  <si>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</si>
  <si>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</si>
  <si>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</si>
  <si>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</si>
  <si>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</si>
  <si>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</si>
  <si>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</si>
  <si>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</si>
  <si>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</si>
  <si>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</si>
  <si>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</si>
  <si>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</si>
  <si>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</si>
  <si>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</si>
  <si>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</si>
  <si>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</si>
  <si>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</si>
  <si>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</si>
  <si>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</si>
  <si>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</si>
  <si>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</si>
  <si>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</si>
  <si>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</si>
  <si>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</si>
  <si>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</si>
  <si>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</si>
  <si>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</si>
  <si>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</si>
  <si>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</si>
  <si>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</si>
  <si>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</si>
  <si>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</si>
  <si>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</si>
  <si>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</si>
  <si>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</si>
  <si>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</si>
  <si>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</si>
  <si>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</si>
  <si>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</si>
  <si>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</si>
  <si>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</si>
  <si>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</si>
  <si>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</si>
  <si>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</si>
  <si>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</si>
  <si>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</si>
  <si>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</si>
  <si>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</si>
  <si>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</si>
  <si>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</si>
  <si>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</si>
  <si>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</si>
  <si>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</si>
  <si>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</si>
  <si>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</si>
  <si>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</si>
  <si>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</si>
  <si>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</si>
  <si>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</si>
  <si>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</si>
  <si>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</si>
  <si>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</si>
  <si>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</si>
  <si>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</si>
  <si>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</si>
  <si>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</si>
  <si>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</si>
  <si>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</si>
  <si>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</si>
  <si>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</si>
  <si>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</si>
  <si>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</si>
  <si>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</si>
  <si>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</si>
  <si>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</si>
  <si>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</si>
  <si>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</si>
  <si>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</si>
  <si>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</si>
  <si>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</si>
  <si>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</si>
  <si>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</si>
  <si>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</si>
  <si>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</si>
  <si>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</si>
  <si>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</si>
  <si>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</si>
  <si>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</si>
  <si>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</si>
  <si>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</si>
  <si>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</si>
  <si>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</si>
  <si>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</si>
  <si>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</si>
  <si>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</si>
  <si>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</si>
  <si>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</si>
  <si>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</si>
  <si>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</si>
  <si>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</si>
  <si>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</si>
  <si>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</si>
  <si>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</si>
  <si>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</si>
  <si>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</si>
  <si>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</si>
  <si>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</si>
  <si>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</si>
  <si>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</si>
  <si>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</si>
  <si>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</si>
  <si>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</si>
  <si>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</si>
  <si>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</si>
  <si>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</si>
  <si>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</si>
  <si>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</si>
  <si>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</si>
  <si>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</si>
  <si>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</si>
  <si>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</si>
  <si>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</si>
  <si>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</si>
  <si>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</si>
  <si>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</si>
  <si>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</si>
  <si>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</si>
  <si>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</si>
  <si>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</si>
  <si>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</si>
  <si>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</si>
  <si>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</si>
  <si>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</si>
  <si>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</si>
  <si>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</si>
  <si>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</si>
  <si>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</si>
  <si>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</si>
  <si>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</si>
  <si>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</si>
  <si>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</si>
  <si>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</si>
  <si>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</si>
  <si>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</si>
  <si>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</si>
  <si>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</si>
  <si>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</si>
  <si>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</si>
  <si>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</si>
  <si>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</si>
  <si>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</si>
  <si>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</si>
  <si>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</si>
  <si>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</si>
  <si>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</si>
  <si>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</si>
  <si>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</si>
  <si>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</si>
  <si>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</si>
  <si>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</si>
  <si>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</si>
  <si>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</si>
  <si>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</si>
  <si>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</si>
  <si>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</si>
  <si>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</si>
  <si>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</si>
  <si>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</si>
  <si>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</si>
  <si>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</si>
  <si>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</si>
  <si>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</si>
  <si>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</si>
  <si>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</si>
  <si>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</si>
  <si>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</si>
  <si>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</si>
  <si>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</si>
  <si>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</si>
  <si>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</si>
  <si>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</si>
  <si>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</si>
  <si>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</si>
  <si>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</si>
  <si>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</si>
  <si>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</si>
  <si>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</si>
  <si>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</si>
  <si>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</si>
  <si>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</si>
  <si>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</si>
  <si>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</si>
  <si>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</si>
  <si>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</si>
  <si>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</si>
  <si>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</si>
  <si>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</si>
  <si>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</si>
  <si>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</si>
  <si>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</si>
  <si>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</si>
  <si>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</si>
  <si>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</si>
  <si>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</si>
  <si>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</si>
  <si>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</si>
  <si>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</si>
  <si>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</si>
  <si>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</si>
  <si>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</si>
  <si>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</si>
  <si>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</si>
  <si>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</si>
  <si>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</si>
  <si>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</si>
  <si>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</si>
  <si>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</si>
  <si>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</si>
  <si>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</si>
  <si>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</si>
  <si>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</si>
  <si>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</si>
  <si>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</si>
  <si>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</si>
  <si>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</si>
  <si>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</si>
  <si>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</si>
  <si>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</si>
  <si>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</si>
  <si>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</si>
  <si>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</si>
  <si>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</si>
  <si>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</si>
  <si>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</si>
  <si>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</si>
  <si>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</si>
  <si>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</si>
  <si>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</si>
  <si>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</si>
  <si>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</si>
  <si>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</si>
  <si>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</si>
  <si>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</si>
  <si>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</si>
  <si>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</si>
  <si>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</si>
  <si>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</si>
  <si>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</si>
  <si>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</si>
  <si>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</si>
  <si>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</si>
  <si>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</si>
  <si>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</si>
  <si>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</si>
  <si>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</si>
  <si>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</si>
  <si>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</si>
  <si>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</si>
  <si>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</si>
  <si>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</si>
  <si>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</si>
  <si>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</si>
  <si>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</si>
  <si>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</si>
  <si>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</si>
  <si>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</si>
  <si>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</si>
  <si>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</si>
  <si>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</si>
  <si>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</si>
  <si>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</si>
  <si>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</si>
  <si>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</si>
  <si>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</si>
  <si>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</si>
  <si>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</si>
  <si>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</si>
  <si>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</si>
  <si>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</si>
  <si>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</si>
  <si>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</si>
  <si>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</si>
  <si>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</si>
  <si>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</si>
  <si>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</si>
  <si>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</si>
  <si>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</si>
  <si>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</si>
  <si>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</si>
  <si>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</si>
  <si>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</si>
  <si>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</si>
  <si>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</si>
  <si>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</si>
  <si>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</si>
  <si>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</si>
  <si>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</si>
  <si>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</si>
  <si>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</si>
  <si>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</si>
  <si>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</si>
  <si>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</si>
  <si>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</si>
  <si>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</si>
  <si>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</si>
  <si>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</si>
  <si>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</si>
  <si>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</si>
  <si>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</si>
  <si>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</si>
  <si>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</si>
  <si>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</si>
  <si>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</si>
  <si>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</si>
  <si>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</si>
  <si>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</si>
  <si>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</si>
  <si>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</si>
  <si>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</si>
  <si>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</si>
  <si>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</si>
  <si>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</si>
  <si>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</si>
  <si>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</si>
  <si>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</si>
  <si>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</si>
  <si>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</si>
  <si>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</si>
  <si>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</si>
  <si>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</si>
  <si>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</si>
  <si>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</si>
  <si>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</si>
  <si>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</si>
  <si>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</si>
  <si>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</si>
  <si>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</si>
  <si>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</si>
  <si>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</si>
  <si>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</si>
  <si>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</si>
  <si>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</si>
  <si>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</si>
  <si>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</si>
  <si>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</si>
  <si>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</si>
  <si>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</si>
  <si>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</si>
  <si>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</si>
  <si>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</si>
  <si>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</si>
  <si>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</si>
  <si>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</si>
  <si>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</si>
  <si>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</si>
  <si>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</si>
  <si>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</si>
  <si>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</si>
  <si>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</si>
  <si>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</si>
  <si>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</si>
  <si>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</si>
  <si>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</si>
  <si>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</si>
  <si>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</si>
  <si>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</si>
  <si>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</si>
  <si>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</si>
  <si>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</si>
  <si>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</si>
  <si>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</si>
  <si>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</si>
  <si>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</si>
  <si>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</si>
  <si>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</si>
  <si>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</si>
  <si>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</si>
  <si>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</si>
  <si>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</si>
  <si>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</si>
  <si>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</si>
  <si>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</si>
  <si>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</si>
  <si>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</si>
  <si>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</si>
  <si>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</si>
  <si>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</si>
  <si>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</si>
  <si>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</si>
  <si>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</si>
  <si>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</si>
  <si>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</si>
  <si>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</si>
  <si>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</si>
  <si>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</si>
  <si>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</si>
  <si>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</si>
  <si>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</si>
  <si>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</si>
  <si>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</si>
  <si>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</si>
  <si>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</si>
  <si>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</si>
  <si>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</si>
  <si>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</si>
  <si>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</si>
  <si>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</si>
  <si>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</si>
  <si>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</si>
  <si>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</si>
  <si>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</si>
  <si>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</si>
  <si>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</si>
  <si>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</si>
  <si>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</si>
  <si>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</si>
  <si>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</si>
  <si>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</si>
  <si>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</si>
  <si>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</si>
  <si>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</si>
  <si>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</si>
  <si>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</si>
  <si>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</si>
  <si>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</si>
  <si>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</si>
  <si>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</si>
  <si>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</si>
  <si>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</si>
  <si>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</si>
  <si>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</si>
  <si>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</si>
  <si>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</si>
  <si>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</si>
  <si>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</si>
  <si>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</si>
  <si>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</si>
  <si>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</si>
  <si>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</si>
  <si>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</si>
  <si>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</si>
  <si>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</si>
  <si>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</si>
  <si>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</si>
  <si>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</si>
  <si>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</si>
  <si>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</si>
  <si>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</si>
  <si>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</si>
  <si>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</si>
  <si>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</si>
  <si>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</si>
  <si>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</si>
  <si>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</si>
  <si>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</si>
  <si>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</si>
  <si>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</si>
  <si>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</si>
  <si>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</si>
  <si>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</si>
  <si>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</si>
  <si>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</si>
  <si>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</si>
  <si>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</si>
  <si>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</si>
  <si>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</si>
  <si>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</si>
  <si>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</si>
  <si>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</si>
  <si>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</si>
  <si>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</si>
  <si>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</si>
  <si>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</si>
  <si>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</si>
  <si>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</si>
  <si>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</si>
  <si>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</si>
  <si>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</si>
  <si>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</si>
  <si>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</si>
  <si>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</si>
  <si>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</si>
  <si>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</si>
  <si>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</si>
  <si>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</si>
  <si>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</si>
  <si>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</si>
  <si>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</si>
  <si>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</si>
  <si>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</si>
  <si>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</si>
  <si>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</si>
  <si>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</si>
  <si>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</si>
  <si>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</si>
  <si>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</si>
  <si>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</si>
  <si>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</si>
  <si>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</si>
  <si>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</si>
  <si>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</si>
  <si>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</si>
  <si>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</si>
  <si>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</si>
  <si>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</si>
  <si>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</si>
  <si>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</si>
  <si>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</si>
  <si>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</si>
  <si>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</si>
  <si>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</si>
  <si>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</si>
  <si>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</si>
  <si>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</si>
  <si>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</si>
  <si>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</si>
  <si>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</si>
  <si>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</si>
  <si>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</si>
  <si>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</si>
  <si>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</si>
  <si>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</si>
  <si>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</si>
  <si>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</si>
  <si>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</si>
  <si>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</si>
  <si>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</si>
  <si>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</si>
  <si>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</si>
  <si>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</si>
  <si>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</si>
  <si>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</si>
  <si>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</si>
  <si>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</si>
  <si>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</si>
  <si>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</si>
  <si>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</si>
  <si>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</si>
  <si>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</si>
  <si>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</si>
  <si>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</si>
  <si>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</si>
  <si>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</si>
  <si>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</si>
  <si>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</si>
  <si>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</si>
  <si>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</si>
  <si>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</si>
  <si>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</si>
  <si>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</si>
  <si>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</si>
  <si>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</si>
  <si>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</si>
  <si>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</si>
  <si>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</si>
  <si>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</si>
  <si>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</si>
  <si>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</si>
  <si>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</si>
  <si>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</si>
  <si>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</si>
  <si>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</si>
  <si>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</si>
  <si>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</si>
  <si>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</si>
  <si>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</si>
  <si>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</si>
  <si>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</si>
  <si>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</si>
  <si>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</si>
  <si>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</si>
  <si>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</si>
  <si>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</si>
  <si>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</si>
  <si>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</si>
  <si>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</si>
  <si>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</si>
  <si>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</si>
  <si>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</si>
  <si>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</si>
  <si>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</si>
  <si>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</si>
  <si>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</si>
  <si>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</si>
  <si>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</si>
  <si>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</si>
  <si>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</si>
  <si>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</si>
  <si>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</si>
  <si>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</si>
  <si>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</si>
  <si>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</si>
  <si>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</si>
  <si>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</si>
  <si>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</si>
  <si>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</si>
  <si>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</si>
  <si>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</si>
  <si>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</si>
  <si>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</si>
  <si>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</si>
  <si>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</si>
  <si>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</si>
  <si>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</si>
  <si>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</si>
  <si>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</si>
  <si>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</si>
  <si>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</si>
  <si>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</si>
  <si>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</si>
  <si>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</si>
  <si>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</si>
  <si>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</si>
  <si>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</si>
  <si>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</si>
  <si>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</si>
  <si>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</si>
  <si>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</si>
  <si>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</si>
  <si>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</si>
  <si>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</si>
  <si>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</si>
  <si>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</si>
  <si>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</si>
  <si>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</si>
  <si>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</si>
  <si>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</si>
  <si>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</si>
  <si>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</si>
  <si>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</si>
  <si>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</si>
  <si>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</si>
  <si>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</si>
  <si>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</si>
  <si>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</si>
  <si>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</si>
  <si>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</si>
  <si>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</si>
  <si>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</si>
  <si>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</si>
  <si>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</si>
  <si>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</si>
  <si>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</si>
  <si>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</si>
  <si>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</si>
  <si>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</si>
  <si>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</si>
  <si>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</si>
  <si>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</si>
  <si>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</si>
  <si>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</si>
  <si>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</si>
  <si>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</si>
  <si>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</si>
  <si>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</si>
  <si>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</si>
  <si>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</si>
  <si>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</si>
  <si>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</si>
  <si>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</si>
  <si>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</si>
  <si>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</si>
  <si>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</si>
  <si>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</si>
  <si>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</si>
  <si>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</si>
  <si>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</si>
  <si>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</si>
  <si>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</si>
  <si>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</si>
  <si>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</si>
  <si>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</si>
  <si>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</si>
  <si>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</si>
  <si>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</si>
  <si>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</si>
  <si>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</si>
  <si>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</si>
  <si>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</si>
  <si>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</si>
  <si>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</si>
  <si>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</si>
  <si>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</si>
  <si>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</si>
  <si>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</si>
  <si>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</si>
  <si>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</si>
  <si>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</si>
  <si>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</si>
  <si>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</si>
  <si>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</si>
  <si>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</si>
  <si>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</si>
  <si>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</si>
  <si>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</si>
  <si>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</si>
  <si>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</si>
  <si>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</si>
  <si>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</si>
  <si>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</si>
  <si>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</si>
  <si>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</si>
  <si>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</si>
  <si>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</si>
  <si>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</si>
  <si>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</si>
  <si>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</si>
  <si>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</si>
  <si>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</si>
  <si>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</si>
  <si>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</si>
  <si>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</si>
  <si>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</si>
  <si>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</si>
  <si>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</si>
  <si>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</si>
  <si>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</si>
  <si>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</si>
  <si>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</si>
  <si>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</si>
  <si>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</si>
  <si>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</si>
  <si>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</si>
  <si>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</si>
  <si>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</si>
  <si>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</si>
  <si>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</si>
  <si>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</si>
  <si>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</si>
  <si>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</si>
  <si>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</si>
  <si>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</si>
  <si>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</si>
  <si>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</si>
  <si>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</si>
  <si>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</si>
  <si>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</si>
  <si>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</si>
  <si>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</si>
  <si>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</si>
  <si>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</si>
  <si>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</si>
  <si>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</si>
  <si>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</si>
  <si>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</si>
  <si>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</si>
  <si>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</si>
  <si>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</si>
  <si>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</si>
  <si>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</si>
  <si>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</si>
  <si>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</si>
  <si>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</si>
  <si>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</si>
  <si>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</si>
  <si>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</si>
  <si>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</si>
  <si>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</si>
  <si>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</si>
  <si>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</si>
  <si>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</si>
  <si>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</si>
  <si>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</si>
  <si>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</si>
  <si>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</si>
  <si>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</si>
  <si>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</si>
  <si>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</si>
  <si>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</si>
  <si>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</si>
  <si>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</si>
  <si>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</si>
  <si>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</si>
  <si>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</si>
  <si>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</si>
  <si>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</si>
  <si>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</si>
  <si>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</si>
  <si>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</si>
  <si>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</si>
  <si>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</si>
  <si>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</si>
  <si>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</si>
  <si>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</si>
  <si>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</si>
  <si>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</si>
  <si>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</si>
  <si>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</si>
  <si>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</si>
  <si>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</si>
  <si>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</si>
  <si>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</si>
  <si>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</si>
  <si>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</si>
  <si>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</si>
  <si>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</si>
  <si>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</si>
  <si>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</si>
  <si>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</si>
  <si>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</si>
  <si>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</si>
  <si>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</si>
  <si>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</si>
  <si>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</si>
  <si>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</si>
  <si>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</si>
  <si>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</si>
  <si>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</si>
  <si>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</si>
  <si>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</si>
  <si>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</si>
  <si>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</si>
  <si>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</si>
  <si>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</si>
  <si>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</si>
  <si>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</si>
  <si>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</si>
  <si>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</si>
  <si>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</si>
  <si>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</si>
  <si>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</si>
  <si>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</si>
  <si>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</si>
  <si>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</si>
  <si>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</si>
  <si>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</si>
  <si>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</si>
  <si>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</si>
  <si>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</si>
  <si>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</si>
  <si>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</si>
  <si>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</si>
  <si>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</si>
  <si>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</si>
  <si>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</si>
  <si>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</si>
  <si>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</si>
  <si>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</si>
  <si>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</si>
  <si>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</si>
  <si>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</si>
  <si>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</si>
  <si>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</si>
  <si>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</si>
  <si>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</si>
  <si>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</si>
  <si>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</si>
  <si>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</si>
  <si>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</si>
  <si>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</si>
  <si>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</si>
  <si>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</si>
  <si>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</si>
  <si>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</si>
  <si>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</si>
  <si>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</si>
  <si>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</si>
  <si>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</si>
  <si>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</si>
  <si>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</si>
  <si>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</si>
  <si>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</si>
  <si>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</si>
  <si>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</si>
  <si>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</si>
  <si>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</si>
  <si>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</si>
  <si>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</si>
  <si>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</si>
  <si>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</si>
  <si>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</si>
  <si>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</si>
  <si>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</si>
  <si>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</si>
  <si>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</si>
  <si>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</si>
  <si>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</si>
  <si>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</si>
  <si>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</si>
  <si>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</si>
  <si>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</si>
  <si>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</si>
  <si>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</si>
  <si>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</si>
  <si>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</si>
  <si>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</si>
  <si>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</si>
  <si>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</si>
  <si>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</si>
  <si>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</si>
  <si>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</si>
  <si>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</si>
  <si>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</si>
  <si>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</si>
  <si>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</si>
  <si>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</si>
  <si>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</si>
  <si>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</si>
  <si>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</si>
  <si>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</si>
  <si>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</si>
  <si>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</si>
  <si>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</si>
  <si>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</si>
  <si>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</si>
  <si>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</si>
  <si>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</si>
  <si>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</si>
  <si>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</si>
  <si>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</si>
  <si>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</si>
  <si>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</si>
  <si>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</si>
  <si>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</si>
  <si>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</si>
  <si>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</si>
  <si>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</si>
  <si>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</si>
  <si>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</si>
  <si>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</si>
  <si>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</si>
  <si>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</si>
  <si>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</si>
  <si>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</si>
  <si>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</si>
  <si>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</si>
  <si>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</si>
  <si>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</si>
  <si>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</si>
  <si>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</si>
  <si>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</si>
  <si>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</si>
  <si>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</si>
  <si>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</si>
  <si>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</si>
  <si>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</si>
  <si>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</si>
  <si>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</si>
  <si>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</si>
  <si>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</si>
  <si>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</si>
  <si>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</si>
  <si>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</si>
  <si>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</si>
  <si>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</si>
  <si>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</si>
  <si>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</si>
  <si>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</si>
  <si>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</si>
  <si>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</si>
  <si>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</si>
  <si>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</si>
  <si>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</si>
  <si>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</si>
  <si>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</si>
  <si>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</si>
  <si>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</si>
  <si>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</si>
  <si>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</si>
  <si>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</si>
  <si>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</si>
  <si>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</si>
  <si>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</si>
  <si>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</si>
  <si>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</si>
  <si>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</si>
  <si>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</si>
  <si>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</si>
  <si>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</si>
  <si>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</si>
  <si>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</si>
  <si>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</si>
  <si>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</si>
  <si>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</si>
  <si>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</si>
  <si>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</si>
  <si>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</si>
  <si>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</si>
  <si>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</si>
  <si>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</si>
  <si>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</si>
  <si>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</si>
  <si>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</si>
  <si>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</si>
  <si>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</si>
  <si>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</si>
  <si>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</si>
  <si>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</si>
  <si>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</si>
  <si>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</si>
  <si>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</si>
  <si>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</si>
  <si>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</si>
  <si>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</si>
  <si>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</si>
  <si>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</si>
  <si>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</si>
  <si>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</si>
  <si>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</si>
  <si>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</si>
  <si>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</si>
  <si>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</si>
  <si>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</si>
  <si>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</si>
  <si>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</si>
  <si>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</si>
  <si>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</si>
  <si>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</si>
  <si>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</si>
  <si>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</si>
  <si>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</si>
  <si>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</si>
  <si>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</si>
  <si>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</si>
  <si>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</si>
  <si>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</si>
  <si>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</si>
  <si>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</si>
  <si>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</si>
  <si>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</si>
  <si>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</si>
  <si>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</si>
  <si>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</si>
  <si>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</si>
  <si>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</si>
  <si>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</si>
  <si>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</si>
  <si>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</si>
  <si>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</si>
  <si>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</si>
  <si>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</si>
  <si>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</si>
  <si>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</si>
  <si>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</si>
  <si>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</si>
  <si>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</si>
  <si>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</si>
  <si>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</si>
  <si>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</si>
  <si>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</si>
  <si>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</si>
  <si>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</si>
  <si>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</si>
  <si>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</si>
  <si>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</si>
  <si>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</si>
  <si>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</si>
  <si>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</si>
  <si>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</si>
  <si>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</si>
  <si>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</si>
  <si>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</si>
  <si>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</si>
  <si>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</si>
  <si>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</si>
  <si>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</si>
  <si>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</si>
  <si>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</si>
  <si>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</si>
  <si>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</si>
  <si>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</si>
  <si>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</si>
  <si>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</si>
  <si>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</si>
  <si>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</si>
  <si>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</si>
  <si>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</si>
  <si>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</si>
  <si>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</si>
  <si>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</si>
  <si>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</si>
  <si>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</si>
  <si>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</si>
  <si>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</si>
  <si>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</si>
  <si>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</si>
  <si>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</si>
  <si>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</si>
  <si>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</si>
  <si>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</si>
  <si>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</si>
  <si>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</si>
  <si>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</si>
  <si>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</si>
  <si>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</si>
  <si>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</si>
  <si>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</si>
  <si>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</si>
  <si>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</si>
  <si>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</si>
  <si>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</si>
  <si>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</si>
  <si>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</si>
  <si>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</si>
  <si>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</si>
  <si>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</si>
  <si>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</si>
  <si>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</si>
  <si>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</si>
  <si>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</si>
  <si>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</si>
  <si>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</si>
  <si>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</si>
  <si>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</si>
  <si>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</si>
  <si>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</si>
  <si>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</si>
  <si>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</si>
  <si>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</si>
  <si>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</si>
  <si>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</si>
  <si>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</si>
  <si>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</si>
  <si>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</si>
  <si>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</si>
  <si>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</si>
  <si>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</si>
  <si>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</si>
  <si>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</si>
  <si>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</si>
  <si>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</si>
  <si>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</si>
  <si>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</si>
  <si>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</si>
  <si>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</si>
  <si>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</si>
  <si>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</si>
  <si>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</si>
  <si>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</si>
  <si>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</si>
  <si>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</si>
  <si>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</si>
  <si>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</si>
  <si>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</si>
  <si>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</si>
  <si>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</si>
  <si>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</si>
  <si>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</si>
  <si>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</si>
  <si>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</si>
  <si>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</si>
  <si>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</si>
  <si>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</si>
  <si>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</si>
  <si>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</si>
  <si>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</si>
  <si>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</si>
  <si>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</si>
  <si>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</si>
  <si>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</si>
  <si>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</si>
  <si>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</si>
  <si>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</si>
  <si>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</si>
  <si>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</si>
  <si>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</si>
  <si>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</si>
  <si>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</si>
  <si>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</si>
  <si>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</si>
  <si>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</si>
  <si>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</si>
  <si>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</si>
  <si>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</si>
  <si>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</si>
  <si>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</si>
  <si>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</si>
  <si>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</si>
  <si>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</si>
  <si>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</si>
  <si>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</si>
  <si>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</si>
  <si>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</si>
  <si>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</si>
  <si>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</si>
  <si>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</si>
  <si>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</si>
  <si>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</si>
  <si>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</si>
  <si>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</si>
  <si>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</si>
  <si>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</si>
  <si>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</si>
  <si>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</si>
  <si>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</si>
  <si>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</si>
  <si>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</si>
  <si>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</si>
  <si>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</si>
  <si>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</si>
  <si>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</si>
  <si>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</si>
  <si>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</si>
  <si>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</si>
  <si>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</si>
  <si>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</si>
  <si>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</si>
  <si>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</si>
  <si>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</si>
  <si>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</si>
  <si>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</si>
  <si>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</si>
  <si>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</si>
  <si>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</si>
  <si>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</si>
  <si>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</si>
  <si>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</si>
  <si>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</si>
  <si>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</si>
  <si>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</si>
  <si>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</si>
  <si>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</si>
  <si>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</si>
  <si>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</si>
  <si>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</si>
  <si>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</si>
  <si>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</si>
  <si>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</si>
  <si>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</si>
  <si>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</si>
  <si>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</si>
  <si>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</si>
  <si>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</si>
  <si>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</si>
  <si>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</si>
  <si>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</si>
  <si>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</si>
  <si>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</si>
  <si>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</si>
  <si>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</si>
  <si>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</si>
  <si>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</si>
  <si>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</si>
  <si>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</si>
  <si>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</si>
  <si>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</si>
  <si>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</si>
  <si>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</si>
  <si>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</si>
  <si>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</si>
  <si>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</si>
  <si>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</si>
  <si>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</si>
  <si>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</si>
  <si>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</si>
  <si>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</si>
  <si>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</si>
  <si>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</si>
  <si>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</si>
  <si>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</si>
  <si>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</si>
  <si>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</si>
  <si>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</si>
  <si>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</si>
  <si>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</si>
  <si>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</si>
  <si>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</si>
  <si>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</si>
  <si>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</si>
  <si>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</si>
  <si>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</si>
  <si>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</si>
  <si>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</si>
  <si>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</si>
  <si>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</si>
  <si>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</si>
  <si>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</si>
  <si>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</si>
  <si>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</si>
  <si>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</si>
  <si>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</si>
  <si>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</si>
  <si>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</si>
  <si>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</si>
  <si>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</si>
  <si>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</si>
  <si>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</si>
  <si>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</si>
  <si>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</si>
  <si>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</si>
  <si>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</si>
  <si>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</si>
  <si>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</si>
  <si>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</si>
  <si>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</si>
  <si>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</si>
  <si>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</si>
  <si>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</si>
  <si>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</si>
  <si>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</si>
  <si>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</si>
  <si>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</si>
  <si>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</si>
  <si>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</si>
  <si>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</si>
  <si>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</si>
  <si>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</si>
  <si>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</si>
  <si>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</si>
  <si>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</si>
  <si>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</si>
  <si>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</si>
  <si>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</si>
  <si>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</si>
  <si>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</si>
  <si>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</si>
  <si>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</si>
  <si>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</si>
  <si>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</si>
  <si>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</si>
  <si>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</si>
  <si>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</si>
  <si>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</si>
  <si>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</si>
  <si>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</si>
  <si>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</si>
  <si>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</si>
  <si>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</si>
  <si>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</si>
  <si>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</si>
  <si>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</si>
  <si>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</si>
  <si>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</si>
  <si>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</si>
  <si>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</si>
  <si>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</si>
  <si>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</si>
  <si>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</si>
  <si>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</si>
  <si>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</si>
  <si>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</si>
  <si>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</si>
  <si>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</si>
  <si>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</si>
  <si>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</si>
  <si>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</si>
  <si>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</si>
  <si>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</si>
  <si>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</si>
  <si>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</si>
  <si>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</si>
  <si>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</si>
  <si>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</si>
  <si>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</si>
  <si>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</si>
  <si>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</si>
  <si>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</si>
  <si>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</si>
  <si>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</si>
  <si>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</si>
  <si>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</si>
  <si>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</si>
  <si>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</si>
  <si>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</si>
  <si>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</si>
  <si>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</si>
  <si>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</si>
  <si>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</si>
  <si>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</si>
  <si>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</si>
  <si>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</si>
  <si>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</si>
  <si>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</si>
  <si>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</si>
  <si>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</si>
  <si>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</si>
  <si>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</si>
  <si>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</si>
  <si>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</si>
  <si>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</si>
  <si>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</si>
  <si>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</si>
  <si>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</si>
  <si>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</si>
  <si>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</si>
  <si>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</si>
  <si>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</si>
  <si>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</si>
  <si>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</si>
  <si>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</si>
  <si>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</si>
  <si>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</si>
  <si>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</si>
  <si>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</si>
  <si>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</si>
  <si>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</si>
  <si>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</si>
  <si>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</si>
  <si>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</si>
  <si>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</si>
  <si>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</si>
  <si>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</si>
  <si>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</si>
  <si>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</si>
  <si>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</si>
  <si>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</si>
  <si>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</si>
  <si>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</si>
  <si>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</si>
  <si>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</si>
  <si>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</si>
  <si>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</si>
  <si>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</si>
  <si>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</si>
  <si>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</si>
  <si>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</si>
  <si>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</si>
  <si>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</si>
  <si>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</si>
  <si>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</si>
  <si>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</si>
  <si>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</si>
  <si>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</si>
  <si>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</si>
  <si>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</si>
  <si>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</si>
  <si>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</si>
  <si>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</si>
  <si>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</si>
  <si>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</si>
  <si>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</si>
  <si>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</si>
  <si>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</si>
  <si>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</si>
  <si>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</si>
  <si>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</si>
  <si>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</si>
  <si>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</si>
  <si>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</si>
  <si>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</si>
  <si>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</si>
  <si>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</si>
  <si>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</si>
  <si>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</si>
  <si>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</si>
  <si>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</si>
  <si>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</si>
  <si>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</si>
  <si>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</si>
  <si>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</si>
  <si>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</si>
  <si>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</si>
  <si>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</si>
  <si>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</si>
  <si>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</si>
  <si>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</si>
  <si>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</si>
  <si>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</si>
  <si>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</si>
  <si>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</si>
  <si>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</si>
  <si>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</si>
  <si>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</si>
  <si>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</si>
  <si>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</si>
  <si>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</si>
  <si>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</si>
  <si>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</si>
  <si>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</si>
  <si>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</si>
  <si>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</si>
  <si>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</si>
  <si>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</si>
  <si>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</si>
  <si>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</si>
  <si>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</si>
  <si>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</si>
  <si>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</si>
  <si>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</si>
  <si>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</si>
  <si>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</si>
  <si>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</si>
  <si>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</si>
  <si>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</si>
  <si>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</si>
  <si>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</si>
  <si>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</si>
  <si>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</si>
  <si>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</si>
  <si>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</si>
  <si>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</si>
  <si>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</si>
  <si>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</si>
  <si>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</si>
  <si>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</si>
  <si>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</si>
  <si>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</si>
  <si>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</si>
  <si>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</si>
  <si>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</si>
  <si>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</si>
  <si>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</si>
  <si>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</si>
  <si>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</si>
  <si>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</si>
  <si>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</si>
  <si>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</si>
  <si>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</si>
  <si>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</si>
  <si>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</si>
  <si>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</si>
  <si>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</si>
  <si>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</si>
  <si>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</si>
  <si>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</si>
  <si>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</si>
  <si>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</si>
  <si>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</si>
  <si>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</si>
  <si>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</si>
  <si>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</si>
  <si>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</si>
  <si>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</si>
  <si>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</si>
  <si>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</si>
  <si>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</si>
  <si>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</si>
  <si>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</si>
  <si>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</si>
  <si>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</si>
  <si>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</si>
  <si>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</si>
  <si>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</si>
  <si>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</si>
  <si>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</si>
  <si>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</si>
  <si>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</si>
  <si>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</si>
  <si>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</si>
  <si>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</si>
  <si>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</si>
  <si>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</si>
  <si>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</si>
  <si>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</si>
  <si>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</si>
  <si>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</si>
  <si>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</si>
  <si>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</si>
  <si>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</si>
  <si>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</si>
  <si>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</si>
  <si>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</si>
  <si>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</si>
  <si>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</si>
  <si>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</si>
  <si>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</si>
  <si>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</si>
  <si>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</si>
  <si>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</si>
  <si>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</si>
  <si>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</si>
  <si>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</si>
  <si>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</si>
  <si>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</si>
  <si>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</si>
  <si>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</si>
  <si>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</si>
  <si>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</si>
  <si>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</si>
  <si>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</si>
  <si>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</si>
  <si>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</si>
  <si>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</si>
  <si>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</si>
  <si>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</si>
  <si>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</si>
  <si>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</si>
  <si>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</si>
  <si>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</si>
  <si>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</si>
  <si>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</si>
  <si>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</si>
  <si>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</si>
  <si>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</si>
  <si>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</si>
  <si>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</si>
  <si>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</si>
  <si>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</si>
  <si>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</si>
  <si>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</si>
  <si>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</si>
  <si>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</si>
  <si>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</si>
  <si>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</si>
  <si>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</si>
  <si>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</si>
  <si>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</si>
  <si>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</si>
  <si>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</si>
  <si>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</si>
  <si>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</si>
  <si>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</si>
  <si>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</si>
  <si>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</si>
  <si>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</si>
  <si>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</si>
  <si>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</si>
  <si>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</si>
  <si>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</si>
  <si>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</si>
  <si>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</si>
  <si>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</si>
  <si>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</si>
  <si>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</si>
  <si>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</si>
  <si>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</si>
  <si>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</si>
  <si>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</si>
  <si>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</si>
  <si>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</si>
  <si>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</si>
  <si>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</si>
  <si>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</si>
  <si>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</si>
  <si>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</si>
  <si>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</si>
  <si>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</si>
  <si>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</si>
  <si>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</si>
  <si>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</si>
  <si>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</si>
  <si>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</si>
  <si>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</si>
  <si>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</si>
  <si>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</si>
  <si>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</si>
  <si>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</si>
  <si>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</si>
  <si>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</si>
  <si>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</si>
  <si>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</si>
  <si>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</si>
  <si>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</si>
  <si>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</si>
  <si>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</si>
  <si>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</si>
  <si>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</si>
  <si>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</si>
  <si>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</si>
  <si>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</si>
  <si>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</si>
  <si>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</si>
  <si>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</si>
  <si>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</si>
  <si>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</si>
  <si>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</si>
  <si>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</si>
  <si>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</si>
  <si>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</si>
  <si>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</si>
  <si>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</si>
  <si>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</si>
  <si>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</si>
  <si>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</si>
  <si>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</si>
  <si>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</si>
  <si>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</si>
  <si>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</si>
  <si>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</si>
  <si>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</si>
  <si>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</si>
  <si>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</si>
  <si>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</si>
  <si>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</si>
  <si>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</si>
  <si>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</si>
  <si>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</si>
  <si>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</si>
  <si>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</si>
  <si>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</si>
  <si>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</si>
  <si>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</si>
  <si>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</si>
  <si>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</si>
  <si>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</si>
  <si>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</si>
  <si>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</si>
  <si>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</si>
  <si>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</si>
  <si>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</si>
  <si>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</si>
  <si>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</si>
  <si>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</si>
  <si>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</si>
  <si>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</si>
  <si>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</si>
  <si>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</si>
  <si>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</si>
  <si>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</si>
  <si>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</si>
  <si>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</si>
  <si>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</si>
  <si>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</si>
  <si>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</si>
  <si>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</si>
  <si>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</si>
  <si>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</si>
  <si>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</si>
  <si>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</si>
  <si>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</si>
  <si>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</si>
  <si>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</si>
  <si>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</si>
  <si>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</si>
  <si>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</si>
  <si>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</si>
  <si>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</si>
  <si>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</si>
  <si>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</si>
  <si>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</si>
  <si>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</si>
  <si>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</si>
  <si>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</si>
  <si>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</si>
  <si>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</si>
  <si>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</si>
  <si>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</si>
  <si>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</si>
  <si>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</si>
  <si>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</si>
  <si>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</si>
  <si>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</si>
  <si>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</si>
  <si>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</si>
  <si>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</si>
  <si>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</si>
  <si>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</si>
  <si>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</si>
  <si>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</si>
  <si>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</si>
  <si>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</si>
  <si>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</si>
  <si>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</si>
  <si>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</si>
  <si>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</si>
  <si>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</si>
  <si>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</si>
  <si>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</si>
  <si>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</si>
  <si>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</si>
  <si>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</si>
  <si>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</si>
  <si>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</si>
  <si>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</si>
  <si>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</si>
  <si>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</si>
  <si>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</si>
  <si>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</si>
  <si>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</si>
  <si>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</si>
  <si>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</si>
  <si>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</si>
  <si>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</si>
  <si>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</si>
  <si>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</si>
  <si>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</si>
  <si>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</si>
  <si>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</si>
  <si>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</si>
  <si>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</si>
  <si>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</si>
  <si>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</si>
  <si>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</si>
  <si>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</si>
  <si>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</si>
  <si>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</si>
  <si>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</si>
  <si>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</si>
  <si>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</si>
  <si>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</si>
  <si>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</si>
  <si>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</si>
  <si>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</si>
  <si>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</si>
  <si>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</si>
  <si>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</si>
  <si>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</si>
  <si>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</si>
  <si>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</si>
  <si>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</si>
  <si>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</si>
  <si>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</si>
  <si>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</si>
  <si>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</si>
  <si>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</si>
  <si>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</si>
  <si>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</si>
  <si>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</si>
  <si>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</si>
  <si>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</si>
  <si>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</si>
  <si>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</si>
  <si>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</si>
  <si>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</si>
  <si>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</si>
  <si>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</si>
  <si>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</si>
  <si>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</si>
  <si>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</si>
  <si>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</si>
  <si>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</si>
  <si>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</si>
  <si>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</si>
  <si>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</si>
  <si>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</si>
  <si>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</si>
  <si>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</si>
  <si>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</si>
  <si>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</si>
  <si>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</si>
  <si>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</si>
  <si>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</si>
  <si>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</si>
  <si>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</si>
  <si>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</si>
  <si>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</si>
  <si>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</si>
  <si>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</si>
  <si>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</si>
  <si>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</si>
  <si>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</si>
  <si>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</si>
  <si>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</si>
  <si>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</si>
  <si>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</si>
  <si>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</si>
  <si>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</si>
  <si>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</si>
  <si>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</si>
  <si>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</si>
  <si>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</si>
  <si>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</si>
  <si>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</si>
  <si>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</si>
  <si>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</si>
  <si>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</si>
  <si>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</si>
  <si>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</si>
  <si>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</si>
  <si>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</si>
  <si>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</si>
  <si>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</si>
  <si>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</si>
  <si>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</si>
  <si>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</si>
  <si>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</si>
  <si>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</si>
  <si>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</si>
  <si>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</si>
  <si>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</si>
  <si>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</si>
  <si>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</si>
  <si>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</si>
  <si>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</si>
  <si>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</si>
  <si>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</si>
  <si>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</si>
  <si>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</si>
  <si>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</si>
  <si>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</si>
  <si>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</si>
  <si>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</si>
  <si>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</si>
  <si>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</si>
  <si>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</si>
  <si>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</si>
  <si>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</si>
  <si>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</si>
  <si>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</si>
  <si>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</si>
  <si>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</si>
  <si>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</si>
  <si>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</si>
  <si>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</si>
  <si>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</si>
  <si>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</si>
  <si>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</si>
  <si>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</si>
  <si>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</si>
  <si>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</si>
  <si>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</si>
  <si>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</si>
  <si>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</si>
  <si>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</si>
  <si>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</si>
  <si>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</si>
  <si>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</si>
  <si>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</si>
  <si>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</si>
  <si>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</si>
  <si>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</si>
  <si>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</si>
  <si>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</si>
  <si>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</si>
  <si>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</si>
  <si>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</si>
  <si>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</si>
  <si>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</si>
  <si>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</si>
  <si>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</si>
  <si>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</si>
  <si>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</si>
  <si>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</si>
  <si>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</si>
  <si>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</si>
  <si>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</si>
  <si>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</si>
  <si>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</si>
  <si>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</si>
  <si>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</si>
  <si>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</si>
  <si>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</si>
  <si>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</si>
  <si>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</si>
  <si>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</si>
  <si>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</si>
  <si>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</si>
  <si>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</si>
  <si>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</si>
  <si>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</si>
  <si>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</si>
  <si>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</si>
  <si>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</si>
  <si>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</si>
  <si>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</si>
  <si>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</si>
  <si>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</si>
  <si>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</si>
  <si>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</si>
  <si>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</si>
  <si>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</si>
  <si>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</si>
  <si>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</si>
  <si>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</si>
  <si>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</si>
  <si>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</si>
  <si>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</si>
  <si>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</si>
  <si>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</si>
  <si>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</si>
  <si>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</si>
  <si>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</si>
  <si>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</si>
  <si>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</si>
  <si>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</si>
  <si>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</si>
  <si>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</si>
  <si>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</si>
  <si>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</si>
  <si>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</si>
  <si>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</si>
  <si>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</si>
  <si>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</si>
  <si>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</si>
  <si>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</si>
  <si>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</si>
  <si>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</si>
  <si>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</si>
  <si>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</si>
  <si>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</si>
  <si>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</si>
  <si>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</si>
  <si>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</si>
  <si>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</si>
  <si>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</si>
  <si>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</si>
  <si>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</si>
  <si>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</si>
  <si>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</si>
  <si>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</si>
  <si>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</si>
  <si>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</si>
  <si>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</si>
  <si>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</si>
  <si>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</si>
  <si>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</si>
  <si>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</si>
  <si>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</si>
  <si>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</si>
  <si>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</si>
  <si>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</si>
  <si>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</si>
  <si>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</si>
  <si>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</si>
  <si>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</si>
  <si>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</si>
  <si>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</si>
  <si>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</si>
  <si>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</si>
  <si>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</si>
  <si>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</si>
  <si>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</si>
  <si>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</si>
  <si>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</si>
  <si>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</si>
  <si>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</si>
  <si>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</si>
  <si>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</si>
  <si>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</si>
  <si>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</si>
  <si>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</si>
  <si>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</si>
  <si>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</si>
  <si>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</si>
  <si>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</si>
  <si>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</si>
  <si>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</si>
  <si>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</si>
  <si>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</si>
  <si>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</si>
  <si>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</si>
  <si>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</si>
  <si>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</si>
  <si>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</si>
  <si>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</si>
  <si>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</si>
  <si>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</si>
  <si>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</si>
  <si>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</si>
  <si>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</si>
  <si>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</si>
  <si>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</si>
  <si>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</si>
  <si>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</si>
  <si>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</si>
  <si>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</si>
  <si>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</si>
  <si>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</si>
  <si>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</si>
  <si>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</si>
  <si>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</si>
  <si>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</si>
  <si>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</si>
  <si>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</si>
  <si>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</si>
  <si>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</si>
  <si>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</si>
  <si>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</si>
  <si>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</si>
  <si>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</si>
  <si>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</si>
  <si>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</si>
  <si>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</si>
  <si>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</si>
  <si>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</si>
  <si>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</si>
  <si>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</si>
  <si>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</si>
  <si>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</si>
  <si>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</si>
  <si>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</si>
  <si>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</si>
  <si>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</si>
  <si>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</si>
  <si>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</si>
  <si>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</si>
  <si>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</si>
  <si>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</si>
  <si>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</si>
  <si>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</si>
  <si>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</si>
  <si>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</si>
  <si>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</si>
  <si>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</si>
  <si>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</si>
  <si>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</si>
  <si>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</si>
  <si>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</si>
  <si>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</si>
  <si>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</si>
  <si>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</si>
  <si>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</si>
  <si>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</si>
  <si>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</si>
  <si>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</si>
  <si>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</si>
  <si>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</si>
  <si>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</si>
  <si>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</si>
  <si>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</si>
  <si>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</si>
  <si>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</si>
  <si>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</si>
  <si>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</si>
  <si>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</si>
  <si>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</si>
  <si>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</si>
  <si>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</si>
  <si>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</si>
  <si>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</si>
  <si>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</si>
  <si>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</si>
  <si>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</si>
  <si>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</si>
  <si>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</si>
  <si>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</si>
  <si>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</si>
  <si>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</si>
  <si>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</si>
  <si>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</si>
  <si>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</si>
  <si>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</si>
  <si>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</si>
  <si>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</si>
  <si>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</si>
  <si>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</si>
  <si>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</si>
  <si>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</si>
  <si>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</si>
  <si>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</si>
  <si>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</si>
  <si>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</si>
  <si>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</si>
  <si>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</si>
  <si>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</si>
  <si>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</si>
  <si>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</si>
  <si>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</si>
  <si>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</si>
  <si>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</si>
  <si>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</si>
  <si>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</si>
  <si>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</si>
  <si>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</si>
  <si>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</si>
  <si>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</si>
  <si>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</si>
  <si>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</si>
  <si>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</si>
  <si>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</si>
  <si>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</si>
  <si>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</si>
  <si>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</si>
  <si>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</si>
  <si>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</si>
  <si>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</si>
  <si>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</si>
  <si>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</si>
  <si>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</si>
  <si>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</si>
  <si>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</si>
  <si>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</si>
  <si>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</si>
  <si>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</si>
  <si>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</si>
  <si>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</si>
  <si>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</si>
  <si>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</si>
  <si>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</si>
  <si>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</si>
  <si>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</si>
  <si>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</si>
  <si>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</si>
  <si>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</si>
  <si>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</si>
  <si>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</si>
  <si>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</si>
  <si>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</si>
  <si>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</si>
  <si>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</si>
  <si>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</si>
  <si>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</si>
  <si>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</si>
  <si>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</si>
  <si>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</si>
  <si>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</si>
  <si>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</si>
  <si>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</si>
  <si>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</si>
  <si>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</si>
  <si>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</si>
  <si>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</si>
  <si>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</si>
  <si>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</si>
  <si>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</si>
  <si>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</si>
  <si>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</si>
  <si>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</si>
  <si>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</si>
  <si>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</si>
  <si>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</si>
  <si>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</si>
  <si>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</si>
  <si>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</si>
  <si>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</si>
  <si>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</si>
  <si>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</si>
  <si>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</si>
  <si>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</si>
  <si>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</si>
  <si>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</si>
  <si>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</si>
  <si>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</si>
  <si>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</si>
  <si>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</si>
  <si>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</si>
  <si>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</si>
  <si>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</si>
  <si>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</si>
  <si>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</si>
  <si>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</si>
  <si>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</si>
  <si>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</si>
  <si>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</si>
  <si>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</si>
  <si>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</si>
  <si>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</si>
  <si>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</si>
  <si>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</si>
  <si>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</si>
  <si>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</si>
  <si>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</si>
  <si>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</si>
  <si>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</si>
  <si>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</si>
  <si>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</si>
  <si>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</si>
  <si>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</si>
  <si>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</si>
  <si>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</si>
  <si>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</si>
  <si>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</si>
  <si>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</si>
  <si>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</si>
  <si>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</si>
  <si>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</si>
  <si>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</si>
  <si>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</si>
  <si>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</si>
  <si>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</si>
  <si>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</si>
  <si>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</si>
  <si>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</si>
  <si>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</si>
  <si>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</si>
  <si>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</si>
  <si>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</si>
  <si>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</si>
  <si>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</si>
  <si>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</si>
  <si>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</si>
  <si>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</si>
  <si>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</si>
  <si>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</si>
  <si>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</si>
  <si>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</si>
  <si>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</si>
  <si>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</si>
  <si>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</si>
  <si>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</si>
  <si>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</si>
  <si>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</si>
  <si>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</si>
  <si>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</si>
  <si>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</si>
  <si>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</si>
  <si>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</si>
  <si>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</si>
  <si>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</si>
  <si>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</si>
  <si>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</si>
  <si>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</si>
  <si>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</si>
  <si>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</si>
  <si>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</si>
  <si>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</si>
  <si>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</si>
  <si>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</si>
  <si>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</si>
  <si>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</si>
  <si>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</si>
  <si>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</si>
  <si>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</si>
  <si>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</si>
  <si>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</si>
  <si>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</si>
  <si>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</si>
  <si>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</si>
  <si>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</si>
  <si>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</si>
  <si>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</si>
  <si>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</si>
  <si>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</si>
  <si>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</si>
  <si>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</si>
  <si>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</si>
  <si>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</si>
  <si>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</si>
  <si>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</si>
  <si>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</si>
  <si>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</si>
  <si>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</si>
  <si>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</si>
  <si>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</si>
  <si>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</si>
  <si>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</si>
  <si>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</si>
  <si>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</si>
  <si>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</si>
  <si>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</si>
  <si>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</si>
  <si>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</si>
  <si>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</si>
  <si>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</si>
  <si>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</si>
  <si>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</si>
  <si>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</si>
  <si>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</si>
  <si>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</si>
  <si>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</si>
  <si>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</si>
  <si>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</si>
  <si>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</si>
  <si>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</si>
  <si>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</si>
  <si>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</si>
  <si>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</si>
  <si>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</si>
  <si>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</si>
  <si>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</si>
  <si>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</si>
  <si>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</si>
  <si>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</si>
  <si>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</si>
  <si>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</si>
  <si>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</si>
  <si>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</si>
  <si>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</si>
  <si>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</si>
  <si>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</si>
  <si>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</si>
  <si>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</si>
  <si>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</si>
  <si>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</si>
  <si>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</si>
  <si>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</si>
  <si>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</si>
  <si>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</si>
  <si>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</si>
  <si>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</si>
  <si>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</si>
  <si>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</si>
  <si>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</si>
  <si>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</si>
  <si>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</si>
  <si>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</si>
  <si>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</si>
  <si>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</si>
  <si>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</si>
  <si>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</si>
  <si>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</si>
  <si>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</si>
  <si>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</si>
  <si>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</si>
  <si>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</si>
  <si>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</si>
  <si>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</si>
  <si>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</si>
  <si>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</si>
  <si>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</si>
  <si>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</si>
  <si>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</si>
  <si>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</si>
  <si>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</si>
  <si>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</si>
  <si>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</si>
  <si>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</si>
  <si>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</si>
  <si>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</si>
  <si>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</si>
  <si>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</si>
  <si>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</si>
  <si>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</si>
  <si>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</si>
  <si>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</si>
  <si>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</si>
  <si>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</si>
  <si>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</si>
  <si>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</si>
  <si>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</si>
  <si>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</si>
  <si>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</si>
  <si>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</si>
  <si>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</si>
  <si>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</si>
  <si>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</si>
  <si>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</si>
  <si>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</si>
  <si>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</si>
  <si>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</si>
  <si>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</si>
  <si>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</si>
  <si>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</si>
  <si>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</si>
  <si>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</si>
  <si>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</si>
  <si>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</si>
  <si>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</si>
  <si>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</si>
  <si>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</si>
  <si>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</si>
  <si>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</si>
  <si>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</si>
  <si>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</si>
  <si>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</si>
  <si>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</si>
  <si>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</si>
  <si>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</si>
  <si>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</si>
  <si>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</si>
  <si>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</si>
  <si>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</si>
  <si>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</si>
  <si>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</si>
  <si>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</si>
  <si>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</si>
  <si>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</si>
  <si>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</si>
  <si>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</si>
  <si>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</si>
  <si>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</si>
  <si>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</si>
  <si>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</si>
  <si>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</si>
  <si>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</si>
  <si>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</si>
  <si>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</si>
  <si>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</si>
  <si>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</si>
  <si>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</si>
  <si>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</si>
  <si>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</si>
  <si>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</si>
  <si>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</si>
  <si>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</si>
  <si>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</si>
  <si>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</si>
  <si>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</si>
  <si>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</si>
  <si>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</si>
  <si>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</si>
  <si>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</si>
  <si>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</si>
  <si>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</si>
  <si>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</si>
  <si>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</si>
  <si>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</si>
  <si>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</si>
  <si>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</si>
  <si>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</si>
  <si>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</si>
  <si>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</si>
  <si>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</si>
  <si>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</si>
  <si>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</si>
  <si>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</si>
  <si>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</si>
  <si>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</si>
  <si>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</si>
  <si>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</si>
  <si>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</si>
  <si>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</si>
  <si>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</si>
  <si>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</si>
  <si>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</si>
  <si>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</si>
  <si>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</si>
  <si>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</si>
  <si>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</si>
  <si>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</si>
  <si>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</si>
  <si>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</si>
  <si>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</si>
  <si>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</si>
  <si>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</si>
  <si>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</si>
  <si>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</si>
  <si>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</si>
  <si>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</si>
  <si>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</si>
  <si>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</si>
  <si>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</si>
  <si>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</si>
  <si>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</si>
  <si>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</si>
  <si>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</si>
  <si>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</si>
  <si>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</si>
  <si>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</si>
  <si>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</si>
  <si>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</si>
  <si>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</si>
  <si>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</si>
  <si>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</si>
  <si>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</si>
  <si>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</si>
  <si>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</si>
  <si>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</si>
  <si>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</si>
  <si>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</si>
  <si>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</si>
  <si>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</si>
  <si>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</si>
  <si>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</si>
  <si>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</si>
  <si>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</si>
  <si>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</si>
  <si>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</si>
  <si>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</si>
  <si>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</si>
  <si>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</si>
  <si>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</si>
  <si>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</si>
  <si>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</si>
  <si>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</si>
  <si>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</si>
  <si>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</si>
  <si>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</si>
  <si>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</si>
  <si>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</si>
  <si>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</si>
  <si>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</si>
  <si>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</si>
  <si>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</si>
  <si>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</si>
  <si>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</si>
  <si>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</si>
  <si>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</si>
  <si>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</si>
  <si>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</si>
  <si>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</si>
  <si>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</si>
  <si>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</si>
  <si>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</si>
  <si>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</si>
  <si>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</si>
  <si>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</si>
  <si>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</si>
  <si>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</si>
  <si>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</si>
  <si>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</si>
  <si>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</si>
  <si>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</si>
  <si>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</si>
  <si>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</si>
  <si>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</si>
  <si>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</si>
  <si>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</si>
  <si>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</si>
  <si>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</si>
  <si>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</si>
  <si>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</si>
  <si>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</si>
  <si>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</si>
  <si>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</si>
  <si>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</si>
  <si>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</si>
  <si>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</si>
  <si>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</si>
  <si>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</si>
  <si>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</si>
  <si>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</si>
  <si>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</si>
  <si>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</si>
  <si>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</si>
  <si>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</si>
  <si>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</si>
  <si>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</si>
  <si>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</si>
  <si>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</si>
  <si>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</si>
  <si>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</si>
  <si>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</si>
  <si>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</si>
  <si>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</si>
  <si>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</si>
  <si>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</si>
  <si>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</si>
  <si>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</si>
  <si>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</si>
  <si>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</si>
  <si>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</si>
  <si>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</si>
  <si>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</si>
  <si>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</si>
  <si>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</si>
  <si>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</si>
  <si>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</si>
  <si>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</si>
  <si>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</si>
  <si>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</si>
  <si>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</si>
  <si>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</si>
  <si>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</si>
  <si>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</si>
  <si>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</si>
  <si>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</si>
  <si>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</si>
  <si>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</si>
  <si>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</si>
  <si>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</si>
  <si>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</si>
  <si>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</si>
  <si>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</si>
  <si>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</si>
  <si>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</si>
  <si>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</si>
  <si>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</si>
  <si>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</si>
  <si>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</si>
  <si>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</si>
  <si>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</si>
  <si>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</si>
  <si>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</si>
  <si>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</si>
  <si>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</si>
  <si>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</si>
  <si>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</si>
  <si>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</si>
  <si>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</si>
  <si>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</si>
  <si>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</si>
  <si>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</si>
  <si>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</si>
  <si>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</si>
  <si>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</si>
  <si>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</si>
  <si>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</si>
  <si>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</si>
  <si>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</si>
  <si>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</si>
  <si>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</si>
  <si>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</si>
  <si>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</si>
  <si>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</si>
  <si>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</si>
  <si>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</si>
  <si>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</si>
  <si>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</si>
  <si>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</si>
  <si>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</si>
  <si>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</si>
  <si>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</si>
  <si>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</si>
  <si>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</si>
  <si>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</si>
  <si>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</si>
  <si>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</si>
  <si>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</si>
  <si>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</si>
  <si>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</si>
  <si>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</si>
  <si>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</si>
  <si>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</si>
  <si>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</si>
  <si>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</si>
  <si>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</si>
  <si>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</si>
  <si>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</si>
  <si>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</si>
  <si>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</si>
  <si>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</si>
  <si>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</si>
  <si>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</si>
  <si>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</si>
  <si>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</si>
  <si>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</si>
  <si>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</si>
  <si>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</si>
  <si>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</si>
  <si>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</si>
  <si>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</si>
  <si>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</si>
  <si>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</si>
  <si>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</si>
  <si>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</si>
  <si>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</si>
  <si>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</si>
  <si>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</si>
  <si>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</si>
  <si>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</si>
  <si>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</si>
  <si>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</si>
  <si>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</si>
  <si>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</si>
  <si>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</si>
  <si>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</si>
  <si>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</si>
  <si>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</si>
  <si>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</si>
  <si>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</si>
  <si>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</si>
  <si>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</si>
  <si>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</si>
  <si>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</si>
  <si>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</si>
  <si>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</si>
  <si>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</si>
  <si>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</si>
  <si>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</si>
  <si>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</si>
  <si>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</si>
  <si>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</si>
  <si>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</si>
  <si>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</si>
  <si>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</si>
  <si>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</si>
  <si>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</si>
  <si>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</si>
  <si>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</si>
  <si>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</si>
  <si>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</si>
  <si>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</si>
  <si>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</si>
  <si>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</si>
  <si>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</si>
  <si>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</si>
  <si>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</si>
  <si>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</si>
  <si>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</si>
  <si>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</si>
  <si>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</si>
  <si>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</si>
  <si>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</si>
  <si>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</si>
  <si>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</si>
  <si>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</si>
  <si>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</si>
  <si>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</si>
  <si>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</si>
  <si>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</si>
  <si>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</si>
  <si>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</si>
  <si>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</si>
  <si>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</si>
  <si>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</si>
  <si>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</si>
  <si>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</si>
  <si>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</si>
  <si>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</si>
  <si>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</si>
  <si>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</si>
  <si>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</si>
  <si>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</si>
  <si>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</si>
  <si>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</si>
  <si>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</si>
  <si>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</si>
  <si>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</si>
  <si>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</si>
  <si>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</si>
  <si>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</si>
  <si>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</si>
  <si>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</si>
  <si>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</si>
  <si>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</si>
  <si>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</si>
  <si>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</si>
  <si>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</si>
  <si>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</si>
  <si>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</si>
  <si>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</si>
  <si>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</si>
  <si>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</si>
  <si>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</si>
  <si>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</si>
  <si>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</si>
  <si>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</si>
  <si>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</si>
  <si>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</si>
  <si>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</si>
  <si>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</si>
  <si>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</si>
  <si>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</si>
  <si>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</si>
  <si>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</si>
  <si>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</si>
  <si>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</si>
  <si>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</si>
  <si>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</si>
  <si>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</si>
  <si>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</si>
  <si>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</si>
  <si>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</si>
  <si>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</si>
  <si>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</si>
  <si>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</si>
  <si>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</si>
  <si>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</si>
  <si>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</si>
  <si>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</si>
  <si>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</si>
  <si>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</si>
  <si>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</si>
  <si>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</si>
  <si>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</si>
  <si>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</si>
  <si>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</si>
  <si>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</si>
  <si>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</si>
  <si>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</si>
  <si>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</si>
  <si>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</si>
  <si>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</si>
  <si>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</si>
  <si>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</si>
  <si>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</si>
  <si>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</si>
  <si>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</si>
  <si>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</si>
  <si>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</si>
  <si>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</si>
  <si>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</si>
  <si>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</si>
  <si>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</si>
  <si>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</si>
  <si>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</si>
  <si>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</si>
  <si>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</si>
  <si>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</si>
  <si>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</si>
  <si>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</si>
  <si>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</si>
  <si>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</si>
  <si>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</si>
  <si>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</si>
  <si>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</si>
  <si>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</si>
  <si>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</si>
  <si>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</si>
  <si>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</si>
  <si>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</si>
  <si>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</si>
  <si>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</si>
  <si>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</si>
  <si>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</si>
  <si>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</si>
  <si>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</si>
  <si>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</si>
  <si>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</si>
  <si>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</si>
  <si>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</si>
  <si>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</si>
  <si>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</si>
  <si>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</si>
  <si>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</si>
  <si>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</si>
  <si>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</si>
  <si>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</si>
  <si>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</si>
  <si>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</si>
  <si>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</si>
  <si>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</si>
  <si>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</si>
  <si>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</si>
  <si>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</si>
  <si>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</si>
  <si>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</si>
  <si>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</si>
  <si>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</si>
  <si>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</si>
  <si>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</si>
  <si>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</si>
  <si>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</si>
  <si>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</si>
  <si>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</si>
  <si>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</si>
  <si>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</si>
  <si>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</si>
  <si>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</si>
  <si>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</si>
  <si>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</si>
  <si>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</si>
  <si>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</si>
  <si>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</si>
  <si>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</si>
  <si>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</si>
  <si>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</si>
  <si>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</si>
  <si>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</si>
  <si>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</si>
  <si>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</si>
  <si>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</si>
  <si>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</si>
  <si>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</si>
  <si>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</si>
  <si>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</si>
  <si>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</si>
  <si>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</si>
  <si>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</si>
  <si>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</si>
  <si>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</si>
  <si>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</si>
  <si>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</si>
  <si>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</si>
  <si>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</si>
  <si>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</si>
  <si>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</si>
  <si>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</si>
  <si>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</si>
  <si>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</si>
  <si>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</si>
  <si>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</si>
  <si>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</si>
  <si>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</si>
  <si>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</si>
  <si>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</si>
  <si>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</si>
  <si>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</si>
  <si>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</si>
  <si>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</si>
  <si>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</si>
  <si>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</si>
  <si>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</si>
  <si>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</si>
  <si>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</si>
  <si>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</si>
  <si>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</si>
  <si>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</si>
  <si>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</si>
  <si>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</si>
  <si>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</si>
  <si>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</si>
  <si>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</si>
  <si>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</si>
  <si>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</si>
  <si>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</si>
  <si>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</si>
  <si>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</si>
  <si>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</si>
  <si>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</si>
  <si>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</si>
  <si>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</si>
  <si>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</si>
  <si>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</si>
  <si>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</si>
  <si>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</si>
  <si>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</si>
  <si>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</si>
  <si>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</si>
  <si>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</si>
  <si>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</si>
  <si>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</si>
  <si>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</si>
  <si>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</si>
  <si>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</si>
  <si>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</si>
  <si>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</si>
  <si>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</si>
  <si>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</si>
  <si>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</si>
  <si>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</si>
  <si>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</si>
  <si>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</si>
  <si>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</si>
  <si>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</si>
  <si>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</si>
  <si>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</si>
  <si>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</si>
  <si>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</si>
  <si>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</si>
  <si>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</si>
  <si>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</si>
  <si>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</si>
  <si>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</si>
  <si>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</si>
  <si>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</si>
  <si>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</si>
  <si>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</si>
  <si>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</si>
  <si>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</si>
  <si>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</si>
  <si>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</si>
  <si>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</si>
  <si>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</si>
  <si>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</si>
  <si>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</si>
  <si>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</si>
  <si>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</si>
  <si>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</si>
  <si>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</si>
  <si>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</si>
  <si>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</si>
  <si>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</si>
  <si>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</si>
  <si>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</si>
  <si>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</si>
  <si>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</si>
  <si>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</si>
  <si>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</si>
  <si>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</si>
  <si>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</si>
  <si>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</si>
  <si>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</si>
  <si>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</si>
  <si>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</si>
  <si>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</si>
  <si>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</si>
  <si>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</si>
  <si>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</si>
  <si>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</si>
  <si>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</si>
  <si>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</si>
  <si>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</si>
  <si>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</si>
  <si>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</si>
  <si>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</si>
  <si>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</si>
  <si>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</si>
  <si>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</si>
  <si>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</si>
  <si>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</si>
  <si>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</si>
  <si>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</si>
  <si>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</si>
  <si>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</si>
  <si>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</si>
  <si>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</si>
  <si>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</si>
  <si>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</si>
  <si>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</si>
  <si>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</si>
  <si>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</si>
  <si>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</si>
  <si>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</si>
  <si>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</si>
  <si>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</si>
  <si>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</si>
  <si>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</si>
  <si>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</si>
  <si>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</si>
  <si>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</si>
  <si>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</si>
  <si>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</si>
  <si>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</si>
  <si>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</si>
  <si>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</si>
  <si>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</si>
  <si>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</si>
  <si>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</si>
  <si>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</si>
  <si>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</si>
  <si>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</si>
  <si>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</si>
  <si>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</si>
  <si>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</si>
  <si>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</si>
  <si>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</si>
  <si>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</si>
  <si>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</si>
  <si>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</si>
  <si>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</si>
  <si>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</si>
  <si>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</si>
  <si>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</si>
  <si>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</si>
  <si>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</si>
  <si>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</si>
  <si>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</si>
  <si>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</si>
  <si>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</si>
  <si>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</si>
  <si>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</si>
  <si>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</si>
  <si>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</si>
  <si>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</si>
  <si>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</si>
  <si>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</si>
  <si>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</si>
  <si>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</si>
  <si>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</si>
  <si>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</si>
  <si>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</si>
  <si>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</si>
  <si>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</si>
  <si>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</si>
  <si>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</si>
  <si>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</si>
  <si>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</si>
  <si>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</si>
  <si>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</si>
  <si>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</si>
  <si>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</si>
  <si>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</si>
  <si>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</si>
  <si>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</si>
  <si>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</si>
  <si>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</si>
  <si>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</si>
  <si>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</si>
  <si>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</si>
  <si>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</si>
  <si>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</si>
  <si>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</si>
  <si>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</si>
  <si>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</si>
  <si>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</si>
  <si>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</si>
  <si>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</si>
  <si>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</si>
  <si>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</si>
  <si>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</si>
  <si>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</si>
  <si>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</si>
  <si>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</si>
  <si>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</si>
  <si>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</si>
  <si>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</si>
  <si>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</si>
  <si>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</si>
  <si>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</si>
  <si>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</si>
  <si>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</si>
  <si>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</si>
  <si>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</si>
  <si>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</si>
  <si>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</si>
  <si>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</si>
  <si>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</si>
  <si>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</si>
  <si>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</si>
  <si>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</si>
  <si>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</si>
  <si>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</si>
  <si>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</si>
  <si>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</si>
  <si>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</si>
  <si>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</si>
  <si>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</si>
  <si>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</si>
  <si>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</si>
  <si>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</si>
  <si>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</si>
  <si>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</si>
  <si>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</si>
  <si>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</si>
  <si>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</si>
  <si>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</si>
  <si>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</si>
  <si>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</si>
  <si>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</si>
  <si>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</si>
  <si>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</si>
  <si>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</si>
  <si>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</si>
  <si>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</si>
  <si>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</si>
  <si>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</si>
  <si>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</si>
  <si>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</si>
  <si>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</si>
  <si>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</si>
  <si>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</si>
  <si>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</si>
  <si>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</si>
  <si>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</si>
  <si>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</si>
  <si>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</si>
  <si>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</si>
  <si>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</si>
  <si>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</si>
  <si>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</si>
  <si>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</si>
  <si>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</si>
  <si>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</si>
  <si>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</si>
  <si>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</si>
  <si>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</si>
  <si>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</si>
  <si>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</si>
  <si>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</si>
  <si>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</si>
  <si>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</si>
  <si>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</si>
  <si>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</si>
  <si>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</si>
  <si>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</si>
  <si>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</si>
  <si>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</si>
  <si>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</si>
  <si>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</si>
  <si>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</si>
  <si>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</si>
  <si>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</si>
  <si>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</si>
  <si>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</si>
  <si>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</si>
  <si>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</si>
  <si>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</si>
  <si>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</si>
  <si>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</si>
  <si>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</si>
  <si>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</si>
  <si>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</si>
  <si>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</si>
  <si>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</si>
  <si>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</si>
  <si>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</si>
  <si>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</si>
  <si>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</si>
  <si>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</si>
  <si>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</si>
  <si>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</si>
  <si>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</si>
  <si>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</si>
  <si>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</si>
  <si>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</si>
  <si>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</si>
  <si>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</si>
  <si>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</si>
  <si>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</si>
  <si>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</si>
  <si>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</si>
  <si>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</si>
  <si>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</si>
  <si>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</si>
  <si>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</si>
  <si>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</si>
  <si>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</si>
  <si>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</si>
  <si>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</si>
  <si>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</si>
  <si>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</si>
  <si>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</si>
  <si>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</si>
  <si>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</si>
  <si>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</si>
  <si>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</si>
  <si>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</si>
  <si>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</si>
  <si>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</si>
  <si>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</si>
  <si>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</si>
  <si>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</si>
  <si>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</si>
  <si>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</si>
  <si>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</si>
  <si>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</si>
  <si>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</si>
  <si>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</si>
  <si>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</si>
  <si>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</si>
  <si>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</si>
  <si>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</si>
  <si>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</si>
  <si>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</si>
  <si>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</si>
  <si>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</si>
  <si>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</si>
  <si>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</si>
  <si>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</si>
  <si>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</si>
  <si>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</si>
  <si>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</si>
  <si>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</si>
  <si>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</si>
  <si>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</si>
  <si>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</si>
  <si>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</si>
  <si>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</si>
  <si>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</si>
  <si>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</si>
  <si>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</si>
  <si>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</si>
  <si>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</si>
  <si>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</si>
  <si>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</si>
  <si>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</si>
  <si>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</si>
  <si>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</si>
  <si>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</si>
  <si>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</si>
  <si>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</si>
  <si>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</si>
  <si>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</si>
  <si>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</si>
  <si>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</si>
  <si>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</si>
  <si>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</si>
  <si>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</si>
  <si>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</si>
  <si>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</si>
  <si>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</si>
  <si>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</si>
  <si>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</si>
  <si>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</si>
  <si>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</si>
  <si>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</si>
  <si>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</si>
  <si>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</si>
  <si>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</si>
  <si>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</si>
  <si>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</si>
  <si>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</si>
  <si>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</si>
  <si>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</si>
  <si>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</si>
  <si>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</si>
  <si>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</si>
  <si>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</si>
  <si>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</si>
  <si>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</si>
  <si>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</si>
  <si>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</si>
  <si>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</si>
  <si>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</si>
  <si>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</si>
  <si>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</si>
  <si>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</si>
  <si>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</si>
  <si>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</si>
  <si>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</si>
  <si>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</si>
  <si>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</si>
  <si>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</si>
  <si>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</si>
  <si>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</si>
  <si>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</si>
  <si>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</si>
  <si>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</si>
  <si>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</si>
  <si>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</si>
  <si>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</si>
  <si>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</si>
  <si>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</si>
  <si>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</si>
  <si>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</si>
  <si>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</si>
  <si>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</si>
  <si>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</si>
  <si>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</si>
  <si>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</si>
  <si>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</si>
  <si>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</si>
  <si>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</si>
  <si>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</si>
  <si>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</si>
  <si>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</si>
  <si>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</si>
  <si>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</si>
  <si>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</si>
  <si>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</si>
  <si>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</si>
  <si>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</si>
  <si>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</si>
  <si>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</si>
  <si>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</si>
  <si>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</si>
  <si>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</si>
  <si>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</si>
  <si>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</si>
  <si>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</si>
  <si>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</si>
  <si>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</si>
  <si>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</si>
  <si>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</si>
  <si>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</si>
  <si>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</si>
  <si>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</si>
  <si>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</si>
  <si>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</si>
  <si>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</si>
  <si>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</si>
  <si>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</si>
  <si>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</si>
  <si>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</si>
  <si>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</si>
  <si>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</si>
  <si>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</si>
  <si>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</si>
  <si>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</si>
  <si>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</si>
  <si>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</si>
  <si>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</si>
  <si>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</si>
  <si>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</si>
  <si>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</si>
  <si>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</si>
  <si>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</si>
  <si>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</si>
  <si>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</si>
  <si>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</si>
  <si>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</si>
  <si>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</si>
  <si>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</si>
  <si>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</si>
  <si>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</si>
  <si>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</si>
  <si>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</si>
  <si>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</si>
  <si>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</si>
  <si>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</si>
  <si>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</si>
  <si>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</si>
  <si>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</si>
  <si>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</si>
  <si>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</si>
  <si>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</si>
  <si>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</si>
  <si>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</si>
  <si>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</si>
  <si>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</si>
  <si>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</si>
  <si>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</si>
  <si>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</si>
  <si>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</si>
  <si>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</si>
  <si>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</si>
  <si>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</si>
  <si>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</si>
  <si>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</si>
  <si>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</si>
  <si>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</si>
  <si>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</si>
  <si>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</si>
  <si>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</si>
  <si>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</si>
  <si>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</si>
  <si>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</si>
  <si>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</si>
  <si>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</si>
  <si>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</si>
  <si>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</si>
  <si>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</si>
  <si>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</si>
  <si>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</si>
  <si>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</si>
  <si>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</si>
  <si>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</si>
  <si>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</si>
  <si>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</si>
  <si>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</si>
  <si>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</si>
  <si>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</si>
  <si>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</si>
  <si>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</si>
  <si>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</si>
  <si>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</si>
  <si>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</si>
  <si>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</si>
  <si>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</si>
  <si>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</si>
  <si>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</si>
  <si>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</si>
  <si>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</si>
  <si>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</si>
  <si>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</si>
  <si>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</si>
  <si>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</si>
  <si>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</si>
  <si>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</si>
  <si>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</si>
  <si>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</si>
  <si>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</si>
  <si>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</si>
  <si>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</si>
  <si>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</si>
  <si>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</si>
  <si>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</si>
  <si>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</si>
  <si>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</si>
  <si>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</si>
  <si>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</si>
  <si>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</si>
  <si>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</si>
  <si>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</si>
  <si>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</si>
  <si>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</si>
  <si>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</si>
  <si>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</si>
  <si>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</si>
  <si>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</si>
  <si>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</si>
  <si>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</si>
  <si>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</si>
  <si>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</si>
  <si>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</si>
  <si>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</si>
  <si>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</si>
  <si>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</si>
  <si>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</si>
  <si>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</si>
  <si>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</si>
  <si>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</si>
  <si>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</si>
  <si>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</si>
  <si>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</si>
  <si>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</si>
  <si>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</si>
  <si>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</si>
  <si>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</si>
  <si>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</si>
  <si>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</si>
  <si>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</si>
  <si>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</si>
  <si>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</si>
  <si>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</si>
  <si>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</si>
  <si>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</si>
  <si>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</si>
  <si>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</si>
  <si>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</si>
  <si>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</si>
  <si>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</si>
  <si>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</si>
  <si>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</si>
  <si>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</si>
  <si>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</si>
  <si>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</si>
  <si>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</si>
  <si>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</si>
  <si>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</si>
  <si>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</si>
  <si>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</si>
  <si>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</si>
  <si>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</si>
  <si>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</si>
  <si>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</si>
  <si>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</si>
  <si>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</si>
  <si>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</si>
  <si>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</si>
  <si>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</si>
  <si>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</si>
  <si>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</si>
  <si>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</si>
  <si>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</si>
  <si>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</si>
  <si>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</si>
  <si>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</si>
  <si>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</si>
  <si>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</si>
  <si>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</si>
  <si>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</si>
  <si>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</si>
  <si>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</si>
  <si>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</si>
  <si>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</si>
  <si>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</si>
  <si>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</si>
  <si>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</si>
  <si>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</si>
  <si>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</si>
  <si>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</si>
  <si>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</si>
  <si>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</si>
  <si>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</si>
  <si>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</si>
  <si>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</si>
  <si>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</si>
  <si>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</si>
  <si>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</si>
  <si>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</si>
  <si>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</si>
  <si>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</si>
  <si>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</si>
  <si>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</si>
  <si>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</si>
  <si>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</si>
  <si>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</si>
  <si>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</si>
  <si>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</si>
  <si>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</si>
  <si>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</si>
  <si>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</si>
  <si>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</si>
  <si>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</si>
  <si>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</si>
  <si>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</si>
  <si>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</si>
  <si>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</si>
  <si>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</si>
  <si>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</si>
  <si>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</si>
  <si>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</si>
  <si>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</si>
  <si>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</si>
  <si>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</si>
  <si>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</si>
  <si>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</si>
  <si>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</si>
  <si>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</si>
  <si>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</si>
  <si>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</si>
  <si>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</si>
  <si>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</si>
  <si>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</si>
  <si>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</si>
  <si>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</si>
  <si>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</si>
  <si>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</si>
  <si>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</si>
  <si>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</si>
  <si>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</si>
  <si>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</si>
  <si>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</si>
  <si>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</si>
  <si>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</si>
  <si>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</si>
  <si>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</si>
  <si>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</si>
  <si>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</si>
  <si>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</si>
  <si>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</si>
  <si>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</si>
  <si>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</si>
  <si>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</si>
  <si>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</si>
  <si>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</si>
  <si>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</si>
  <si>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</si>
  <si>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</si>
  <si>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</si>
  <si>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</si>
  <si>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</si>
  <si>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</si>
  <si>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</si>
  <si>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</si>
  <si>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</si>
  <si>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</si>
  <si>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</si>
  <si>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</si>
  <si>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</si>
  <si>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</si>
  <si>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</si>
  <si>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</si>
  <si>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</si>
  <si>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</si>
  <si>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</si>
  <si>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</si>
  <si>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</si>
  <si>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</si>
  <si>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</si>
  <si>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</si>
  <si>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</si>
  <si>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</si>
  <si>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</si>
  <si>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</si>
  <si>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</si>
  <si>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</si>
  <si>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</si>
  <si>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</si>
  <si>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</si>
  <si>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</si>
  <si>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</si>
  <si>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</si>
  <si>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</si>
  <si>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</si>
  <si>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</si>
  <si>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</si>
  <si>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</si>
  <si>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</si>
  <si>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</si>
  <si>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</si>
  <si>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</si>
  <si>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</si>
  <si>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</si>
  <si>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</si>
  <si>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</si>
  <si>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</si>
  <si>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</si>
  <si>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</si>
  <si>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</si>
  <si>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</si>
  <si>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</si>
  <si>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</si>
  <si>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</si>
  <si>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</si>
  <si>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</si>
  <si>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</si>
  <si>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</si>
  <si>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</si>
  <si>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</si>
  <si>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</si>
  <si>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</si>
  <si>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</si>
  <si>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</si>
  <si>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</si>
  <si>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</si>
  <si>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</si>
  <si>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</si>
  <si>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</si>
  <si>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</si>
  <si>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</si>
  <si>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</si>
  <si>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</si>
  <si>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</si>
  <si>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</si>
  <si>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</si>
  <si>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</si>
  <si>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</si>
  <si>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</si>
  <si>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</si>
  <si>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</si>
  <si>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</si>
  <si>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</si>
  <si>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</si>
  <si>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</si>
  <si>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</si>
  <si>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</si>
  <si>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</si>
  <si>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</si>
  <si>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</si>
  <si>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</si>
  <si>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</si>
  <si>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</si>
  <si>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</si>
  <si>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</si>
  <si>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</si>
  <si>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</si>
  <si>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</si>
  <si>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</si>
  <si>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</si>
  <si>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</si>
  <si>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</si>
  <si>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</si>
  <si>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</si>
  <si>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</si>
  <si>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</si>
  <si>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</si>
  <si>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</si>
  <si>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</si>
  <si>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</si>
  <si>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</si>
  <si>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</si>
  <si>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</si>
  <si>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</si>
  <si>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</si>
  <si>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</si>
  <si>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</si>
  <si>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</si>
  <si>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</si>
  <si>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</si>
  <si>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</si>
  <si>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</si>
  <si>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</si>
  <si>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</si>
  <si>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</si>
  <si>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</si>
  <si>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</si>
  <si>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</si>
  <si>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</si>
  <si>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</si>
  <si>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</si>
  <si>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</si>
  <si>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</si>
  <si>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</si>
  <si>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</si>
  <si>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</si>
  <si>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</si>
  <si>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</si>
  <si>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</si>
  <si>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</si>
  <si>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</si>
  <si>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</si>
  <si>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</si>
  <si>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</si>
  <si>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</si>
  <si>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</si>
  <si>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</si>
  <si>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</si>
  <si>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</si>
  <si>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</si>
  <si>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</si>
  <si>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</si>
  <si>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</si>
  <si>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</si>
  <si>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</si>
  <si>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</si>
  <si>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</si>
  <si>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</si>
  <si>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</si>
  <si>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</si>
  <si>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</si>
  <si>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</si>
  <si>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</si>
  <si>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</si>
  <si>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</si>
  <si>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</si>
  <si>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</si>
  <si>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</si>
  <si>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</si>
  <si>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</si>
  <si>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</si>
  <si>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</si>
  <si>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</si>
  <si>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</si>
  <si>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</si>
  <si>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</si>
  <si>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</si>
  <si>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</si>
  <si>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</si>
  <si>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</si>
  <si>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</si>
  <si>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</si>
  <si>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</si>
  <si>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</si>
  <si>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</si>
  <si>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</si>
  <si>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</si>
  <si>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</si>
  <si>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</si>
  <si>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</si>
  <si>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</si>
  <si>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</si>
  <si>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</si>
  <si>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</si>
  <si>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</si>
  <si>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</si>
  <si>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</si>
  <si>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</si>
  <si>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</si>
  <si>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</si>
  <si>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</si>
  <si>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</si>
  <si>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</si>
  <si>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</si>
  <si>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</si>
  <si>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</si>
  <si>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</si>
  <si>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</si>
  <si>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</si>
  <si>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</si>
  <si>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</si>
  <si>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</si>
  <si>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</si>
  <si>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</si>
  <si>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</si>
  <si>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</si>
  <si>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</si>
  <si>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</si>
  <si>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</si>
  <si>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</si>
  <si>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</si>
  <si>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</si>
  <si>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</si>
  <si>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</si>
  <si>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</si>
  <si>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</si>
  <si>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</si>
  <si>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</si>
  <si>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</si>
  <si>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</si>
  <si>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</si>
  <si>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</si>
  <si>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</si>
  <si>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</si>
  <si>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</si>
  <si>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</si>
  <si>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</si>
  <si>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</si>
  <si>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</si>
  <si>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</si>
  <si>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</si>
  <si>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</si>
  <si>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</si>
  <si>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</si>
  <si>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</si>
  <si>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</si>
  <si>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</si>
  <si>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</si>
  <si>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</si>
  <si>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</si>
  <si>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</si>
  <si>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</si>
  <si>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</si>
  <si>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</si>
  <si>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</si>
  <si>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</si>
  <si>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</si>
  <si>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</si>
  <si>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</si>
  <si>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</si>
  <si>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</si>
  <si>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</si>
  <si>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</si>
  <si>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</si>
  <si>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</si>
  <si>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</si>
  <si>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</si>
  <si>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</si>
  <si>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</si>
  <si>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</si>
  <si>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</si>
  <si>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</si>
  <si>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</si>
  <si>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</si>
  <si>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</si>
  <si>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</si>
  <si>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</si>
  <si>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</si>
  <si>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</si>
  <si>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</si>
  <si>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</si>
  <si>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</si>
  <si>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</si>
  <si>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</si>
  <si>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</si>
  <si>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</si>
  <si>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</si>
  <si>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</si>
  <si>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</si>
  <si>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</si>
  <si>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</si>
  <si>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</si>
  <si>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</si>
  <si>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</si>
  <si>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</si>
  <si>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</si>
  <si>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</si>
  <si>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</si>
  <si>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</si>
  <si>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</si>
  <si>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</si>
  <si>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</si>
  <si>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</si>
  <si>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</si>
  <si>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</si>
  <si>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</si>
  <si>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</si>
  <si>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</si>
  <si>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</si>
  <si>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</si>
  <si>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</si>
  <si>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</si>
  <si>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</si>
  <si>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</si>
  <si>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</si>
  <si>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</si>
  <si>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</si>
  <si>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</si>
  <si>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</si>
  <si>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</si>
  <si>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</si>
  <si>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</si>
  <si>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</si>
  <si>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</si>
  <si>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</si>
  <si>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</si>
  <si>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</si>
  <si>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</si>
  <si>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</si>
  <si>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</si>
  <si>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</si>
  <si>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</si>
  <si>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</si>
  <si>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</si>
  <si>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</si>
  <si>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</si>
  <si>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</si>
  <si>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</si>
  <si>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</si>
  <si>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</si>
  <si>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</si>
  <si>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</si>
  <si>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</si>
  <si>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</si>
  <si>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</si>
  <si>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</si>
  <si>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</si>
  <si>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</si>
  <si>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</si>
  <si>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</si>
  <si>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</si>
  <si>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</si>
  <si>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</si>
  <si>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</si>
  <si>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</si>
  <si>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</si>
  <si>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</si>
  <si>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</si>
  <si>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</si>
  <si>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</si>
  <si>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</si>
  <si>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</si>
  <si>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</si>
  <si>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</si>
  <si>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</si>
  <si>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</si>
  <si>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</si>
  <si>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</si>
  <si>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</si>
  <si>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</si>
  <si>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</si>
  <si>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</si>
  <si>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</si>
  <si>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</si>
  <si>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</si>
  <si>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</si>
  <si>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</si>
  <si>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</si>
  <si>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</si>
  <si>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</si>
  <si>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</si>
  <si>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</si>
  <si>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</si>
  <si>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</si>
  <si>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</si>
  <si>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</si>
  <si>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</si>
  <si>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</si>
  <si>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</si>
  <si>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</si>
  <si>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</si>
  <si>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</si>
  <si>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</si>
  <si>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</si>
  <si>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</si>
  <si>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</si>
  <si>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</si>
  <si>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</si>
  <si>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</si>
  <si>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</si>
  <si>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</si>
  <si>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</si>
  <si>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</si>
  <si>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</si>
  <si>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</si>
  <si>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</si>
  <si>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</si>
  <si>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</si>
  <si>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</si>
  <si>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</si>
  <si>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</si>
  <si>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</si>
  <si>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</si>
  <si>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</si>
  <si>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</si>
  <si>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</si>
  <si>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</si>
  <si>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</si>
  <si>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</si>
  <si>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</si>
  <si>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</si>
  <si>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</si>
  <si>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</si>
  <si>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</si>
  <si>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</si>
  <si>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</si>
  <si>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</si>
  <si>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</si>
  <si>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</si>
  <si>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</si>
  <si>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</si>
  <si>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</si>
  <si>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</si>
  <si>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</si>
  <si>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</si>
  <si>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</si>
  <si>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</si>
  <si>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</si>
  <si>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</si>
  <si>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</si>
  <si>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</si>
  <si>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</si>
  <si>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</si>
  <si>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</si>
  <si>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</si>
  <si>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</si>
  <si>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</si>
  <si>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</si>
  <si>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</si>
  <si>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</si>
  <si>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</si>
  <si>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</si>
  <si>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</si>
  <si>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</si>
  <si>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</si>
  <si>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</si>
  <si>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</si>
  <si>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</si>
  <si>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</si>
  <si>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</si>
  <si>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</si>
  <si>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</si>
  <si>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</si>
  <si>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</si>
  <si>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</si>
  <si>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</si>
  <si>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</si>
  <si>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</si>
  <si>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</si>
  <si>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</si>
  <si>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</si>
  <si>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</si>
  <si>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</si>
  <si>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</si>
  <si>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</si>
  <si>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</si>
  <si>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</si>
  <si>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</si>
  <si>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</si>
  <si>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</si>
  <si>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</si>
  <si>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</si>
  <si>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</si>
  <si>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</si>
  <si>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</si>
  <si>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</si>
  <si>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</si>
  <si>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</si>
  <si>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</si>
  <si>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</si>
  <si>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</si>
  <si>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</si>
  <si>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</si>
  <si>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</si>
  <si>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</si>
  <si>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</si>
  <si>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</si>
  <si>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</si>
  <si>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</si>
  <si>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</si>
  <si>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</si>
  <si>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</si>
  <si>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</si>
  <si>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</si>
  <si>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</si>
  <si>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</si>
  <si>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</si>
  <si>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</si>
  <si>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</si>
  <si>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</si>
  <si>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</si>
  <si>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</si>
  <si>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</si>
  <si>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</si>
  <si>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</si>
  <si>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</si>
  <si>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</si>
  <si>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</si>
  <si>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</si>
  <si>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</si>
  <si>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</si>
  <si>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</si>
  <si>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</si>
  <si>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</si>
  <si>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</si>
  <si>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</si>
  <si>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</si>
  <si>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</si>
  <si>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</si>
  <si>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</si>
  <si>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</si>
  <si>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</si>
  <si>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</si>
  <si>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</si>
  <si>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</si>
  <si>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</si>
  <si>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</si>
  <si>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</si>
  <si>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</si>
  <si>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</si>
  <si>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</si>
  <si>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</si>
  <si>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</si>
  <si>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</si>
  <si>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</si>
  <si>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</si>
  <si>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</si>
  <si>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</si>
  <si>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</si>
  <si>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</si>
  <si>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</si>
  <si>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</si>
  <si>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</si>
  <si>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</si>
  <si>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</si>
  <si>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</si>
  <si>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</si>
  <si>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</si>
  <si>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</si>
  <si>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</si>
  <si>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</si>
  <si>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</si>
  <si>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</si>
  <si>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</si>
  <si>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</si>
  <si>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</si>
  <si>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</si>
  <si>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</si>
  <si>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</si>
  <si>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</si>
  <si>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</si>
  <si>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</si>
  <si>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</si>
  <si>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</si>
  <si>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</si>
  <si>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</si>
  <si>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</si>
  <si>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</si>
  <si>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</si>
  <si>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</si>
  <si>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</si>
  <si>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</si>
  <si>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</si>
  <si>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</si>
  <si>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</si>
  <si>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</si>
  <si>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</si>
  <si>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</si>
  <si>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</si>
  <si>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</si>
  <si>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</si>
  <si>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</si>
  <si>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</si>
  <si>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</si>
  <si>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</si>
  <si>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</si>
  <si>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</si>
  <si>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</si>
  <si>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</si>
  <si>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</si>
  <si>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</si>
  <si>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</si>
  <si>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</si>
  <si>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</si>
  <si>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</si>
  <si>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</si>
  <si>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</si>
  <si>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</si>
  <si>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</si>
  <si>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</si>
  <si>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</si>
  <si>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</si>
  <si>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</si>
  <si>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</si>
  <si>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</si>
  <si>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</si>
  <si>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</si>
  <si>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</si>
  <si>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</si>
  <si>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</si>
  <si>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</si>
  <si>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</si>
  <si>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</si>
  <si>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</si>
  <si>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</si>
  <si>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</si>
  <si>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</si>
  <si>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</si>
  <si>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</si>
  <si>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</si>
  <si>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</si>
  <si>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</si>
  <si>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</si>
  <si>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</si>
  <si>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</si>
  <si>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</si>
  <si>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</si>
  <si>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</si>
  <si>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</si>
  <si>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</si>
  <si>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</si>
  <si>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</si>
  <si>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</si>
  <si>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</si>
  <si>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</si>
  <si>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</si>
  <si>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</si>
  <si>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</si>
  <si>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</si>
  <si>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</si>
  <si>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</si>
  <si>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</si>
  <si>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</si>
  <si>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</si>
  <si>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</si>
  <si>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</si>
  <si>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</si>
  <si>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</si>
  <si>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</si>
  <si>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</si>
  <si>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</si>
  <si>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</si>
  <si>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</si>
  <si>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</si>
  <si>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</si>
  <si>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</si>
  <si>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</si>
  <si>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</si>
  <si>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</si>
  <si>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</si>
  <si>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</si>
  <si>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</si>
  <si>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</si>
  <si>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</si>
  <si>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</si>
  <si>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</si>
  <si>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</si>
  <si>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</si>
  <si>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</si>
  <si>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</si>
  <si>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</si>
  <si>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</si>
  <si>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</si>
  <si>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</si>
  <si>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</si>
  <si>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</si>
  <si>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</si>
  <si>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</si>
  <si>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</si>
  <si>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</si>
  <si>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</si>
  <si>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</si>
  <si>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</si>
  <si>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</si>
  <si>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</si>
  <si>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</si>
  <si>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</si>
  <si>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</si>
  <si>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</si>
  <si>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</si>
  <si>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</si>
  <si>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</si>
  <si>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</si>
  <si>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</si>
  <si>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</si>
  <si>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</si>
  <si>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</si>
  <si>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</si>
  <si>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</si>
  <si>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</si>
  <si>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</si>
  <si>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</si>
  <si>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</si>
  <si>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</si>
  <si>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</si>
  <si>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</si>
  <si>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</si>
  <si>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</si>
  <si>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</si>
  <si>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</si>
  <si>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</si>
  <si>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</si>
  <si>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</si>
  <si>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</si>
  <si>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</si>
  <si>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</si>
  <si>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</si>
  <si>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</si>
  <si>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</si>
  <si>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</si>
  <si>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</si>
  <si>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</si>
  <si>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</si>
  <si>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</si>
  <si>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</si>
  <si>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</si>
  <si>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</si>
  <si>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</si>
  <si>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</si>
  <si>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</si>
  <si>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</si>
  <si>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</si>
  <si>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</si>
  <si>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</si>
  <si>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</si>
  <si>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</si>
  <si>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</si>
  <si>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</si>
  <si>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</si>
  <si>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</si>
  <si>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</si>
  <si>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</si>
  <si>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</si>
  <si>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</si>
  <si>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</si>
  <si>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</si>
  <si>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</si>
  <si>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</si>
  <si>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</si>
  <si>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</si>
  <si>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</si>
  <si>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</si>
  <si>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</si>
  <si>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</si>
  <si>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</si>
  <si>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</si>
  <si>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</si>
  <si>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</si>
  <si>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</si>
  <si>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</si>
  <si>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</si>
  <si>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</si>
  <si>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</si>
  <si>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</si>
  <si>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</si>
  <si>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</si>
  <si>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</si>
  <si>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</si>
  <si>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</si>
  <si>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</si>
  <si>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</si>
  <si>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</si>
  <si>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</si>
  <si>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</si>
  <si>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</si>
  <si>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</si>
  <si>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</si>
  <si>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</si>
  <si>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</si>
  <si>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</si>
  <si>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</si>
  <si>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</si>
  <si>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</si>
  <si>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</si>
  <si>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</si>
  <si>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</si>
  <si>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</si>
  <si>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</si>
  <si>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</si>
  <si>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</si>
  <si>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</si>
  <si>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</si>
  <si>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</si>
  <si>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</si>
  <si>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</si>
  <si>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</si>
  <si>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</si>
  <si>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</si>
  <si>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</si>
  <si>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</si>
  <si>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</si>
  <si>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</si>
  <si>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</si>
  <si>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</si>
  <si>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</si>
  <si>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</si>
  <si>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</si>
  <si>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</si>
  <si>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</si>
  <si>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</si>
  <si>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</si>
  <si>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</si>
  <si>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</si>
  <si>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</si>
  <si>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</si>
  <si>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</si>
  <si>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</si>
  <si>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</si>
  <si>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</si>
  <si>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</si>
  <si>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</si>
  <si>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</si>
  <si>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</si>
  <si>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</si>
  <si>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</si>
  <si>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</si>
  <si>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</si>
  <si>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</si>
  <si>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</si>
  <si>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</si>
  <si>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</si>
  <si>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</si>
  <si>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</si>
  <si>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</si>
  <si>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</si>
  <si>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</si>
  <si>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</si>
  <si>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</si>
  <si>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</si>
  <si>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</si>
  <si>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</si>
  <si>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</si>
  <si>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</si>
  <si>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</si>
  <si>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</si>
  <si>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</si>
  <si>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</si>
  <si>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</si>
  <si>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</si>
  <si>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</si>
  <si>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</si>
  <si>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</si>
  <si>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</si>
  <si>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</si>
  <si>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</si>
  <si>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</si>
  <si>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</si>
  <si>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</si>
  <si>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</si>
  <si>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</si>
  <si>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</si>
  <si>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</si>
  <si>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</si>
  <si>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</si>
  <si>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</si>
  <si>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</si>
  <si>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</si>
  <si>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</si>
  <si>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</si>
  <si>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</si>
  <si>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</si>
  <si>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</si>
  <si>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</si>
  <si>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</si>
  <si>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</si>
  <si>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</si>
  <si>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</si>
  <si>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</si>
  <si>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</si>
  <si>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</si>
  <si>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</si>
  <si>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</si>
  <si>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</si>
  <si>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</si>
  <si>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</si>
  <si>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</si>
  <si>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</si>
  <si>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</si>
  <si>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</si>
  <si>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</si>
  <si>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</si>
  <si>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</si>
  <si>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</si>
  <si>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</si>
  <si>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</si>
  <si>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</si>
  <si>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</si>
  <si>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</si>
  <si>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</si>
  <si>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</si>
  <si>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</si>
  <si>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</si>
  <si>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</si>
  <si>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</si>
  <si>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</si>
  <si>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</si>
  <si>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</si>
  <si>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</si>
  <si>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</si>
  <si>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</si>
  <si>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</si>
  <si>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</si>
  <si>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</si>
  <si>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</si>
  <si>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</si>
  <si>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</si>
  <si>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</si>
  <si>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</si>
  <si>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</si>
  <si>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</si>
  <si>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</si>
  <si>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</si>
  <si>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</si>
  <si>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</si>
  <si>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</si>
  <si>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</si>
  <si>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</si>
  <si>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</si>
  <si>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</si>
  <si>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</si>
  <si>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</si>
  <si>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</si>
  <si>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</si>
  <si>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</si>
  <si>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</si>
  <si>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</si>
  <si>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</si>
  <si>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</si>
  <si>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</si>
  <si>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</si>
  <si>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</si>
  <si>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</si>
  <si>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</si>
  <si>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</si>
  <si>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</si>
  <si>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</si>
  <si>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</si>
  <si>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</si>
  <si>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</si>
  <si>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</si>
  <si>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</si>
  <si>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</si>
  <si>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</si>
  <si>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</si>
  <si>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</si>
  <si>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</si>
  <si>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</si>
  <si>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</si>
  <si>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</si>
  <si>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</si>
  <si>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</si>
  <si>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</si>
  <si>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</si>
  <si>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</si>
  <si>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</si>
  <si>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</si>
  <si>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</si>
  <si>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</si>
  <si>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</si>
  <si>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</si>
  <si>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</si>
  <si>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</si>
  <si>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</si>
  <si>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</si>
  <si>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</si>
  <si>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</si>
  <si>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</si>
  <si>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</si>
  <si>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</si>
  <si>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</si>
  <si>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</si>
  <si>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</si>
  <si>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</si>
  <si>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</si>
  <si>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</si>
  <si>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</si>
  <si>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</si>
  <si>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</si>
  <si>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</si>
  <si>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</si>
  <si>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</si>
  <si>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</si>
  <si>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</si>
  <si>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</si>
  <si>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</si>
  <si>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</si>
  <si>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KAMAYA  ELECTRIC  CO.,LTD.</t>
    <phoneticPr fontId="84" type="noConversion"/>
  </si>
  <si>
    <t>refer to Product List</t>
    <phoneticPr fontId="84" type="noConversion"/>
  </si>
  <si>
    <t>PSA Building, 6-1-6 Chuou, Yamato-shi, Kanagawa 242-0021Japan.</t>
  </si>
  <si>
    <t>Masami Watanabe</t>
  </si>
  <si>
    <t>watanabe@kamaya.co.jp</t>
  </si>
  <si>
    <t>+81-125-65-2171</t>
  </si>
  <si>
    <t>Makoto Suzuki</t>
  </si>
  <si>
    <t>Assistant General Manager</t>
  </si>
  <si>
    <t>smakoto@kamaya.co.jp</t>
  </si>
  <si>
    <t>(+81)125-65-2171</t>
  </si>
  <si>
    <t>The supplier has confirmed their downstream suppliers, the acquisition of RMI certification.</t>
  </si>
  <si>
    <t>RMC series</t>
  </si>
  <si>
    <t>Chip Resistors</t>
  </si>
  <si>
    <t>RACA series</t>
  </si>
  <si>
    <t>RGC series</t>
  </si>
  <si>
    <t>RNC series</t>
  </si>
  <si>
    <t>RNC20, RNC32 Cobalt use</t>
  </si>
  <si>
    <t>RMPC series</t>
  </si>
  <si>
    <t>RMCH series</t>
  </si>
  <si>
    <t>TWMC series</t>
  </si>
  <si>
    <t>RMGW series</t>
  </si>
  <si>
    <t>RMAW series</t>
  </si>
  <si>
    <t>FCR series</t>
  </si>
  <si>
    <t>RVC series</t>
  </si>
  <si>
    <t>RZC series</t>
  </si>
  <si>
    <t>RVAC series</t>
  </si>
  <si>
    <t>RPC series</t>
  </si>
  <si>
    <t>RPCH series</t>
  </si>
  <si>
    <t>RBX series</t>
  </si>
  <si>
    <t>RPGW series</t>
  </si>
  <si>
    <t>RCC series</t>
  </si>
  <si>
    <t>Cobalt use</t>
  </si>
  <si>
    <t>RLC series</t>
  </si>
  <si>
    <t>RLC L series</t>
  </si>
  <si>
    <t>RLP series</t>
  </si>
  <si>
    <t>MLP series</t>
  </si>
  <si>
    <t>MLP63C</t>
  </si>
  <si>
    <t>WLP63</t>
  </si>
  <si>
    <t>TWLC series</t>
  </si>
  <si>
    <t>FRC series</t>
  </si>
  <si>
    <t>Chip Fuses</t>
  </si>
  <si>
    <t>RAC series</t>
  </si>
  <si>
    <t>RAAW series</t>
  </si>
  <si>
    <t>LTC series</t>
  </si>
  <si>
    <t>FCC series</t>
  </si>
  <si>
    <t>FHC series</t>
  </si>
  <si>
    <t>FMC series</t>
  </si>
  <si>
    <t>FCCR series</t>
  </si>
  <si>
    <t>SBF32</t>
  </si>
  <si>
    <t>HFC32</t>
  </si>
  <si>
    <t>RAC101A</t>
  </si>
  <si>
    <t>Chip Attenuators</t>
  </si>
  <si>
    <t>SPC10</t>
  </si>
  <si>
    <t>HSPC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</si>
</sst>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0">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u/>
      <sz val="10"/>
      <color theme="10"/>
      <name val="Verdana"/>
      <family val="2"/>
    </font>
    <font>
      <sz val="12"/>
      <name val="ＭＳ Ｐ明朝"/>
      <family val="1"/>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19"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49" fontId="18" fillId="45" borderId="56" xfId="0" applyNumberFormat="1" applyFont="1" applyFill="1" applyBorder="1" applyAlignment="1" applyProtection="1">
      <alignment horizontal="left" vertical="center" wrapText="1"/>
      <protection locked="0"/>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19"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pplyProtection="1">
      <alignment horizontal="left" vertical="center" wrapText="1"/>
      <protection locked="0"/>
    </xf>
    <xf numFmtId="49" fontId="118" fillId="45" borderId="56"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アクセント 1" xfId="688" builtinId="30" customBuiltin="1"/>
    <cellStyle name="20% - アクセント 2" xfId="692" builtinId="34" customBuiltin="1"/>
    <cellStyle name="20% - アクセント 3" xfId="696" builtinId="38" customBuiltin="1"/>
    <cellStyle name="20% - アクセント 4" xfId="700" builtinId="42" customBuiltin="1"/>
    <cellStyle name="20% - アクセント 5" xfId="704" builtinId="46" customBuiltin="1"/>
    <cellStyle name="20% - アクセント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アクセント 1" xfId="689" builtinId="31" customBuiltin="1"/>
    <cellStyle name="40% - アクセント 2" xfId="693" builtinId="35" customBuiltin="1"/>
    <cellStyle name="40% - アクセント 3" xfId="697" builtinId="39" customBuiltin="1"/>
    <cellStyle name="40% - アクセント 4" xfId="701" builtinId="43" customBuiltin="1"/>
    <cellStyle name="40% - アクセント 5" xfId="705" builtinId="47" customBuiltin="1"/>
    <cellStyle name="40% - アクセント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アクセント 1" xfId="690" builtinId="32" customBuiltin="1"/>
    <cellStyle name="60% - アクセント 2" xfId="694" builtinId="36" customBuiltin="1"/>
    <cellStyle name="60% - アクセント 3" xfId="698" builtinId="40" customBuiltin="1"/>
    <cellStyle name="60% - アクセント 4" xfId="702" builtinId="44" customBuiltin="1"/>
    <cellStyle name="60% - アクセント 5" xfId="706" builtinId="48" customBuiltin="1"/>
    <cellStyle name="60% - アクセント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アクセント 1" xfId="687" builtinId="29" customBuiltin="1"/>
    <cellStyle name="アクセント 2" xfId="691" builtinId="33" customBuiltin="1"/>
    <cellStyle name="アクセント 3" xfId="695" builtinId="37" customBuiltin="1"/>
    <cellStyle name="アクセント 4" xfId="699" builtinId="41" customBuiltin="1"/>
    <cellStyle name="アクセント 5" xfId="703" builtinId="45" customBuiltin="1"/>
    <cellStyle name="アクセント 6" xfId="707" builtinId="49" customBuiltin="1"/>
    <cellStyle name="タイトル" xfId="671" builtinId="15" customBuiltin="1"/>
    <cellStyle name="チェック セル" xfId="683" builtinId="23" customBuiltin="1"/>
    <cellStyle name="どちらでもない" xfId="678" builtinId="28" customBuiltin="1"/>
    <cellStyle name="ハイパーリンク" xfId="829" builtinId="8"/>
    <cellStyle name="リンク セル" xfId="682" builtinId="24" customBuiltin="1"/>
    <cellStyle name="悪い" xfId="677" builtinId="27" customBuiltin="1"/>
    <cellStyle name="一般 7" xfId="593"/>
    <cellStyle name="計算" xfId="681" builtinId="22" customBuiltin="1"/>
    <cellStyle name="警告文" xfId="684" builtinId="11" customBuiltin="1"/>
    <cellStyle name="見出し 1" xfId="672" builtinId="16" customBuiltin="1"/>
    <cellStyle name="見出し 2" xfId="673" builtinId="17" customBuiltin="1"/>
    <cellStyle name="見出し 3" xfId="674" builtinId="18" customBuiltin="1"/>
    <cellStyle name="見出し 4" xfId="675" builtinId="19" customBuiltin="1"/>
    <cellStyle name="集計" xfId="686" builtinId="25" customBuiltin="1"/>
    <cellStyle name="出力" xfId="680" builtinId="21" customBuiltin="1"/>
    <cellStyle name="説明文" xfId="685" builtinId="53" customBuiltin="1"/>
    <cellStyle name="入力" xfId="679" builtinId="20" customBuiltin="1"/>
    <cellStyle name="標準" xfId="0" builtinId="0"/>
    <cellStyle name="標準 2" xfId="594"/>
    <cellStyle name="標準 2 2" xfId="595"/>
    <cellStyle name="標準 2 3" xfId="596"/>
    <cellStyle name="良い" xfId="676" builtinId="26" customBuiltin="1"/>
    <cellStyle name="표준 2" xfId="592"/>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makoto@kamaya.co.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7"/>
      <c r="B2" s="2" t="s">
        <v>1</v>
      </c>
      <c r="C2" s="3"/>
      <c r="D2" s="147"/>
      <c r="E2" s="3"/>
      <c r="F2" s="3"/>
      <c r="G2" s="25"/>
    </row>
    <row r="3" spans="1:7">
      <c r="A3" s="317"/>
      <c r="B3" s="3" t="s">
        <v>2</v>
      </c>
      <c r="C3" s="2"/>
      <c r="D3" s="148"/>
      <c r="E3" s="3"/>
      <c r="F3" s="2"/>
      <c r="G3" s="25"/>
    </row>
    <row r="4" spans="1:7" ht="15">
      <c r="A4" s="317"/>
      <c r="B4" s="184" t="s">
        <v>3</v>
      </c>
      <c r="C4" s="185"/>
      <c r="D4" s="186"/>
      <c r="E4" s="3"/>
      <c r="F4" s="185"/>
      <c r="G4" s="25"/>
    </row>
    <row r="5" spans="1:7">
      <c r="A5" s="317"/>
      <c r="B5" s="190" t="s">
        <v>4</v>
      </c>
      <c r="C5" s="187"/>
      <c r="D5" s="188"/>
      <c r="E5" s="3"/>
      <c r="F5" s="187"/>
      <c r="G5" s="25"/>
    </row>
    <row r="6" spans="1:7">
      <c r="A6" s="317"/>
      <c r="B6" s="3"/>
      <c r="C6" s="3"/>
      <c r="D6" s="147"/>
      <c r="E6" s="3"/>
      <c r="F6" s="3"/>
      <c r="G6" s="25"/>
    </row>
    <row r="7" spans="1:7">
      <c r="A7" s="317"/>
      <c r="B7" s="3"/>
      <c r="C7" s="3"/>
      <c r="D7" s="147"/>
      <c r="E7" s="3"/>
      <c r="F7" s="3"/>
      <c r="G7" s="25"/>
    </row>
    <row r="8" spans="1:7">
      <c r="A8" s="317"/>
      <c r="B8" s="3"/>
      <c r="C8" s="3"/>
      <c r="D8" s="147"/>
      <c r="E8" s="3"/>
      <c r="F8" s="3"/>
      <c r="G8" s="25"/>
    </row>
    <row r="9" spans="1:7" ht="20.100000000000001" customHeight="1">
      <c r="A9" s="317"/>
      <c r="B9" s="320" t="s">
        <v>5</v>
      </c>
      <c r="C9" s="320"/>
      <c r="D9" s="320"/>
      <c r="E9" s="320"/>
      <c r="F9" s="320"/>
      <c r="G9" s="25"/>
    </row>
    <row r="10" spans="1:7" ht="27" customHeight="1">
      <c r="A10" s="317"/>
      <c r="B10" s="321" t="s">
        <v>6</v>
      </c>
      <c r="C10" s="321"/>
      <c r="D10" s="321"/>
      <c r="E10" s="321"/>
      <c r="F10" s="321"/>
      <c r="G10" s="25"/>
    </row>
    <row r="11" spans="1:7" ht="82.5" customHeight="1">
      <c r="A11" s="317"/>
      <c r="B11" s="322"/>
      <c r="C11" s="322"/>
      <c r="D11" s="322"/>
      <c r="E11" s="322"/>
      <c r="F11" s="322"/>
      <c r="G11" s="25"/>
    </row>
    <row r="12" spans="1:7" ht="22.5">
      <c r="A12" s="317"/>
      <c r="B12" s="174" t="s">
        <v>7</v>
      </c>
      <c r="C12" s="175" t="s">
        <v>8</v>
      </c>
      <c r="D12" s="176" t="s">
        <v>9</v>
      </c>
      <c r="E12" s="175" t="s">
        <v>10</v>
      </c>
      <c r="F12" s="175" t="s">
        <v>11</v>
      </c>
      <c r="G12" s="25"/>
    </row>
    <row r="13" spans="1:7" ht="67.5">
      <c r="A13" s="317"/>
      <c r="B13" s="308">
        <v>1</v>
      </c>
      <c r="C13" s="227" t="s">
        <v>12</v>
      </c>
      <c r="D13" s="228">
        <v>44489</v>
      </c>
      <c r="E13" s="227" t="s">
        <v>12669</v>
      </c>
      <c r="F13" s="229" t="s">
        <v>12701</v>
      </c>
      <c r="G13" s="25"/>
    </row>
    <row r="14" spans="1:7" ht="56.25">
      <c r="A14" s="317"/>
      <c r="B14" s="226">
        <v>1.01</v>
      </c>
      <c r="C14" s="227" t="s">
        <v>12</v>
      </c>
      <c r="D14" s="228">
        <v>44523</v>
      </c>
      <c r="E14" s="227" t="s">
        <v>12670</v>
      </c>
      <c r="F14" s="229" t="s">
        <v>12701</v>
      </c>
      <c r="G14" s="25"/>
    </row>
    <row r="15" spans="1:7" ht="56.25">
      <c r="A15" s="317"/>
      <c r="B15" s="226">
        <v>1.02</v>
      </c>
      <c r="C15" s="227" t="s">
        <v>12</v>
      </c>
      <c r="D15" s="228">
        <v>44553</v>
      </c>
      <c r="E15" s="227" t="s">
        <v>12671</v>
      </c>
      <c r="F15" s="229" t="s">
        <v>12701</v>
      </c>
      <c r="G15" s="25"/>
    </row>
    <row r="16" spans="1:7" ht="90">
      <c r="A16" s="317"/>
      <c r="B16" s="226">
        <v>1.1000000000000001</v>
      </c>
      <c r="C16" s="227" t="s">
        <v>12</v>
      </c>
      <c r="D16" s="228">
        <v>44848</v>
      </c>
      <c r="E16" s="227" t="s">
        <v>12695</v>
      </c>
      <c r="F16" s="229" t="s">
        <v>12702</v>
      </c>
      <c r="G16" s="25"/>
    </row>
    <row r="17" spans="1:7" ht="56.25">
      <c r="A17" s="317"/>
      <c r="B17" s="226">
        <v>1.1100000000000001</v>
      </c>
      <c r="C17" s="227" t="s">
        <v>12</v>
      </c>
      <c r="D17" s="228">
        <v>44869</v>
      </c>
      <c r="E17" s="227" t="s">
        <v>12696</v>
      </c>
      <c r="F17" s="229" t="s">
        <v>12702</v>
      </c>
      <c r="G17" s="25"/>
    </row>
    <row r="18" spans="1:7" ht="56.25">
      <c r="A18" s="317"/>
      <c r="B18" s="226">
        <v>1.2</v>
      </c>
      <c r="C18" s="227" t="s">
        <v>12</v>
      </c>
      <c r="D18" s="228">
        <v>45058</v>
      </c>
      <c r="E18" s="227" t="s">
        <v>12749</v>
      </c>
      <c r="F18" s="229" t="s">
        <v>12703</v>
      </c>
      <c r="G18" s="25"/>
    </row>
    <row r="19" spans="1:7" ht="56.25">
      <c r="A19" s="317"/>
      <c r="B19" s="226">
        <v>1.3</v>
      </c>
      <c r="C19" s="227" t="s">
        <v>12</v>
      </c>
      <c r="D19" s="228">
        <v>45408</v>
      </c>
      <c r="E19" s="309" t="s">
        <v>19199</v>
      </c>
      <c r="F19" s="229" t="s">
        <v>12750</v>
      </c>
      <c r="G19" s="25"/>
    </row>
    <row r="20" spans="1:7" ht="13.5" thickBot="1">
      <c r="A20" s="318"/>
      <c r="B20" s="319" t="str">
        <f ca="1">OFFSET(L!$C$1,MATCH("General"&amp;"Cpy",L!$A:$A,0)-1,SL,,)</f>
        <v>© 2024 Responsible Minerals Initiative. All rights reserved.</v>
      </c>
      <c r="C20" s="319"/>
      <c r="D20" s="319"/>
      <c r="E20" s="319"/>
      <c r="F20" s="319"/>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3"/>
      <c r="B1" s="324"/>
      <c r="C1" s="324"/>
      <c r="D1" s="325"/>
    </row>
    <row r="2" spans="1:8" ht="15">
      <c r="A2" s="177"/>
      <c r="B2" s="178" t="str">
        <f ca="1">OFFSET(L!$C$1,MATCH("Definitions"&amp;ADDRESS(ROW(),COLUMN(),4),L!$A:$A,0)-1,SL,,)</f>
        <v>ITEM</v>
      </c>
      <c r="C2" s="178" t="str">
        <f ca="1">OFFSET(L!$C$1,MATCH("Definitions"&amp;ADDRESS(ROW(),COLUMN(),4),L!$A:$A,0)-1,SL,,)</f>
        <v>DEFINITION</v>
      </c>
      <c r="D2" s="327"/>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7"/>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7"/>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7"/>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7"/>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7"/>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7"/>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7"/>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7"/>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7"/>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7"/>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7"/>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7"/>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7"/>
      <c r="E21" s="180"/>
    </row>
    <row r="22" spans="1:5" ht="15">
      <c r="A22" s="177"/>
      <c r="B22" s="326" t="str">
        <f ca="1">OFFSET(L!$C$1,MATCH("General"&amp;"Cpy",L!$A:$A,0)-1,SL,,)</f>
        <v>© 2024 Responsible Minerals Initiative. All rights reserved.</v>
      </c>
      <c r="C22" s="326"/>
      <c r="D22" s="327"/>
      <c r="E22" s="180"/>
    </row>
    <row r="23" spans="1:5" ht="13.5" thickBot="1">
      <c r="A23" s="181"/>
      <c r="B23" s="182"/>
      <c r="C23" s="182"/>
      <c r="D23" s="328"/>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85" zoomScaleNormal="85" workbookViewId="0">
      <selection activeCell="D22" sqref="D22:E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9"/>
      <c r="B1" s="370"/>
      <c r="C1" s="370"/>
      <c r="D1" s="370"/>
      <c r="E1" s="370"/>
      <c r="F1" s="370"/>
      <c r="G1" s="370"/>
      <c r="H1" s="370"/>
      <c r="I1" s="370"/>
      <c r="J1" s="370"/>
      <c r="K1" s="371"/>
      <c r="L1" s="103"/>
      <c r="P1" s="3"/>
      <c r="Q1" s="3"/>
      <c r="R1" s="3"/>
      <c r="S1" s="3"/>
      <c r="T1" s="3"/>
      <c r="U1" s="3"/>
      <c r="V1" s="3"/>
      <c r="W1" s="3"/>
      <c r="X1" s="3"/>
      <c r="Y1" s="3"/>
      <c r="Z1" s="3"/>
      <c r="AA1" s="3"/>
      <c r="AB1" s="3"/>
      <c r="AC1" s="3"/>
      <c r="AD1" s="3"/>
      <c r="AE1" s="3"/>
      <c r="AF1" s="3"/>
      <c r="AG1" s="3"/>
      <c r="AH1" s="3"/>
    </row>
    <row r="2" spans="1:34" ht="81.75" customHeight="1">
      <c r="A2" s="28"/>
      <c r="B2" s="304"/>
      <c r="C2" s="29"/>
      <c r="D2" s="372" t="str">
        <f ca="1">OFFSET(L!$C$1,MATCH("Declaration"&amp;ADDRESS(ROW(),COLUMN(),4),L!$A:$A,0)-1,SL,,)</f>
        <v>Extended Mineral Reporting Template (EMRT)</v>
      </c>
      <c r="E2" s="373"/>
      <c r="F2" s="373"/>
      <c r="G2" s="373"/>
      <c r="H2" s="373"/>
      <c r="I2" s="373"/>
      <c r="J2" s="37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90"/>
      <c r="F3" s="391"/>
      <c r="G3" s="391"/>
      <c r="H3" s="391"/>
      <c r="I3" s="391"/>
      <c r="J3" s="191" t="s">
        <v>12830</v>
      </c>
      <c r="K3" s="30"/>
      <c r="L3" s="103"/>
      <c r="P3" s="39">
        <f>MATCH($D$3,LN,0)</f>
        <v>1</v>
      </c>
    </row>
    <row r="4" spans="1:34" ht="15.75">
      <c r="A4" s="28"/>
      <c r="B4" s="378" t="str">
        <f ca="1">OFFSET(L!$C$1,MATCH("Declaration"&amp;ADDRESS(ROW(),COLUMN(),4),L!$A:$A,0)-1,SL,,)</f>
        <v>The purpose of this document is to collect sourcing information on cobalt or natural mica.</v>
      </c>
      <c r="C4" s="378"/>
      <c r="D4" s="378"/>
      <c r="E4" s="378"/>
      <c r="F4" s="378"/>
      <c r="G4" s="378"/>
      <c r="H4" s="378"/>
      <c r="I4" s="382" t="str">
        <f ca="1">OFFSET(L!$C$1,MATCH("Declaration"&amp;ADDRESS(ROW(),COLUMN(),4),L!$A:$A,0)-1,SL,,)</f>
        <v>Link to Terms &amp; Conditions</v>
      </c>
      <c r="J4" s="382"/>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8" t="str">
        <f ca="1">OFFSET(L!$C$1,MATCH("Declaration"&amp;ADDRESS(ROW(),COLUMN(),4),L!$A:$A,0)-1,SL,,)</f>
        <v>Mandatory fields are noted with an asterisk (*).  Consult the instructions tab for guidance on how to answer each question.</v>
      </c>
      <c r="C6" s="378"/>
      <c r="D6" s="378"/>
      <c r="E6" s="378"/>
      <c r="F6" s="378"/>
      <c r="G6" s="378"/>
      <c r="H6" s="378"/>
      <c r="I6" s="378"/>
      <c r="J6" s="378"/>
      <c r="K6" s="30"/>
      <c r="L6" s="105" t="s">
        <v>18</v>
      </c>
      <c r="P6" s="3"/>
      <c r="Q6" s="3"/>
      <c r="R6" s="3"/>
      <c r="S6" s="3"/>
      <c r="T6" s="3"/>
      <c r="U6" s="3"/>
      <c r="V6" s="3"/>
      <c r="W6" s="3"/>
      <c r="X6" s="3"/>
      <c r="Y6" s="3"/>
      <c r="Z6" s="3"/>
      <c r="AA6" s="3"/>
      <c r="AB6" s="3"/>
      <c r="AC6" s="3"/>
      <c r="AD6" s="3"/>
      <c r="AE6" s="3"/>
      <c r="AF6" s="3"/>
      <c r="AG6" s="3"/>
      <c r="AH6" s="3"/>
    </row>
    <row r="7" spans="1:34" ht="15.75">
      <c r="A7" s="28"/>
      <c r="B7" s="383" t="str">
        <f ca="1">OFFSET(L!$C$1,MATCH("Declaration"&amp;ADDRESS(ROW(),COLUMN(),4),L!$A:$A,0)-1,SL,,)</f>
        <v>Company Information</v>
      </c>
      <c r="C7" s="383"/>
      <c r="D7" s="383"/>
      <c r="E7" s="383"/>
      <c r="F7" s="383"/>
      <c r="G7" s="383"/>
      <c r="H7" s="383"/>
      <c r="I7" s="383"/>
      <c r="J7" s="38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5" t="s">
        <v>19202</v>
      </c>
      <c r="E8" s="376"/>
      <c r="F8" s="376"/>
      <c r="G8" s="376"/>
      <c r="H8" s="376"/>
      <c r="I8" s="376"/>
      <c r="J8" s="37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8" t="s">
        <v>21</v>
      </c>
      <c r="E9" s="359"/>
      <c r="F9" s="359"/>
      <c r="G9" s="36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4" t="str">
        <f ca="1">OFFSET(L!$C$1,MATCH("Declaration"&amp;ADDRESS(ROW(),COLUMN(),4)&amp;LEFT($D$9,1),L!$A:$A,0)-1,SL,,)</f>
        <v>Description of Scope: (*)</v>
      </c>
      <c r="C10" s="113"/>
      <c r="D10" s="379" t="s">
        <v>19203</v>
      </c>
      <c r="E10" s="380"/>
      <c r="F10" s="380"/>
      <c r="G10" s="380"/>
      <c r="H10" s="380"/>
      <c r="I10" s="380"/>
      <c r="J10" s="381"/>
      <c r="K10" s="30"/>
      <c r="L10" s="105"/>
      <c r="Q10" s="3"/>
      <c r="R10" s="3"/>
      <c r="S10" s="3"/>
      <c r="T10" s="3"/>
      <c r="U10" s="3"/>
      <c r="V10" s="3"/>
      <c r="W10" s="3"/>
      <c r="X10" s="3"/>
      <c r="Y10" s="3"/>
      <c r="Z10" s="3"/>
      <c r="AA10" s="3"/>
      <c r="AB10" s="3"/>
      <c r="AC10" s="3"/>
      <c r="AD10" s="3"/>
      <c r="AE10" s="3"/>
      <c r="AF10" s="3"/>
      <c r="AG10" s="3"/>
      <c r="AH10" s="3"/>
    </row>
    <row r="11" spans="1:34" ht="15">
      <c r="A11" s="32"/>
      <c r="B11" s="385"/>
      <c r="C11" s="113"/>
      <c r="D11" s="386" t="str">
        <f ca="1">IF(D9=Q9,OFFSET(L!$C$1,MATCH("Declaration"&amp;ADDRESS(ROW(),COLUMN(),4),L!$A:$A,0)-1,SL,,),"")</f>
        <v/>
      </c>
      <c r="E11" s="387"/>
      <c r="F11" s="387"/>
      <c r="G11" s="387"/>
      <c r="H11" s="387"/>
      <c r="I11" s="387"/>
      <c r="J11" s="38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7"/>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7"/>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19204</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7" t="s">
        <v>19205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4" t="s">
        <v>19206</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7"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19208</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5" t="s">
        <v>19210</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7" t="s">
        <v>19211</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3">
        <v>45420</v>
      </c>
      <c r="E22" s="36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7"/>
      <c r="E23" s="35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9" t="str">
        <f ca="1">OFFSET(L!$C$1,MATCH("Declaration"&amp;ADDRESS(ROW(),COLUMN(),4),L!$A:$A,0)-1,SL,,)</f>
        <v>Answer the following questions 1 - 7 based on the declaration scope indicated above</v>
      </c>
      <c r="C24" s="389"/>
      <c r="D24" s="389"/>
      <c r="E24" s="389"/>
      <c r="F24" s="389"/>
      <c r="G24" s="389"/>
      <c r="H24" s="389"/>
      <c r="I24" s="389"/>
      <c r="J24" s="38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1" t="str">
        <f ca="1">OFFSET(L!$C$1,MATCH("Declaration"&amp;ADDRESS(ROW(),COLUMN(),4),L!$A:$A,0)-1,SL,,)</f>
        <v>Answer</v>
      </c>
      <c r="E25" s="35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9" t="s">
        <v>25</v>
      </c>
      <c r="E26" s="330"/>
      <c r="F26" s="9"/>
      <c r="G26" s="331"/>
      <c r="H26" s="332"/>
      <c r="I26" s="332"/>
      <c r="J26" s="33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9" t="s">
        <v>22</v>
      </c>
      <c r="E27" s="330"/>
      <c r="F27" s="9"/>
      <c r="G27" s="331"/>
      <c r="H27" s="332"/>
      <c r="I27" s="332"/>
      <c r="J27" s="33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31"/>
      <c r="H28" s="332"/>
      <c r="I28" s="332"/>
      <c r="J28" s="33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1" t="s">
        <v>22</v>
      </c>
      <c r="E29" s="362"/>
      <c r="F29" s="9"/>
      <c r="G29" s="331"/>
      <c r="H29" s="332"/>
      <c r="I29" s="332"/>
      <c r="J29" s="33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3" t="str">
        <f ca="1">D25</f>
        <v>Answer</v>
      </c>
      <c r="E31" s="35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9" t="s">
        <v>25</v>
      </c>
      <c r="E32" s="330"/>
      <c r="F32" s="9"/>
      <c r="G32" s="331"/>
      <c r="H32" s="332"/>
      <c r="I32" s="332"/>
      <c r="J32" s="33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9"/>
      <c r="E33" s="330"/>
      <c r="F33" s="9"/>
      <c r="G33" s="331"/>
      <c r="H33" s="332"/>
      <c r="I33" s="332"/>
      <c r="J33" s="33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31"/>
      <c r="H34" s="332"/>
      <c r="I34" s="332"/>
      <c r="J34" s="33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31"/>
      <c r="H35" s="332"/>
      <c r="I35" s="332"/>
      <c r="J35" s="33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3" t="str">
        <f ca="1">D25</f>
        <v>Answer</v>
      </c>
      <c r="E37" s="353"/>
      <c r="F37" s="15"/>
      <c r="G37" s="38" t="str">
        <f ca="1">G25</f>
        <v>Comments</v>
      </c>
      <c r="H37" s="368"/>
      <c r="I37" s="368"/>
      <c r="J37" s="368"/>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9" t="s">
        <v>25</v>
      </c>
      <c r="E38" s="330"/>
      <c r="F38" s="41"/>
      <c r="G38" s="331" t="s">
        <v>19212</v>
      </c>
      <c r="H38" s="332"/>
      <c r="I38" s="332"/>
      <c r="J38" s="33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9"/>
      <c r="E39" s="330"/>
      <c r="F39" s="41"/>
      <c r="G39" s="331"/>
      <c r="H39" s="332"/>
      <c r="I39" s="332"/>
      <c r="J39" s="33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9"/>
      <c r="E40" s="330"/>
      <c r="F40" s="41"/>
      <c r="G40" s="331"/>
      <c r="H40" s="332"/>
      <c r="I40" s="332"/>
      <c r="J40" s="33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9"/>
      <c r="E41" s="330"/>
      <c r="F41" s="41"/>
      <c r="G41" s="331"/>
      <c r="H41" s="332"/>
      <c r="I41" s="332"/>
      <c r="J41" s="33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3" t="str">
        <f ca="1">D25</f>
        <v>Answer</v>
      </c>
      <c r="E43" s="353"/>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9" t="s">
        <v>22</v>
      </c>
      <c r="E44" s="330"/>
      <c r="F44" s="41"/>
      <c r="G44" s="331"/>
      <c r="H44" s="332"/>
      <c r="I44" s="332"/>
      <c r="J44" s="33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9"/>
      <c r="E45" s="330"/>
      <c r="F45" s="41"/>
      <c r="G45" s="331"/>
      <c r="H45" s="332"/>
      <c r="I45" s="332"/>
      <c r="J45" s="33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31"/>
      <c r="H46" s="332"/>
      <c r="I46" s="332"/>
      <c r="J46" s="33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31"/>
      <c r="H47" s="332"/>
      <c r="I47" s="332"/>
      <c r="J47" s="33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3" t="str">
        <f ca="1">D25</f>
        <v>Answer</v>
      </c>
      <c r="E49" s="353"/>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2">
        <v>1</v>
      </c>
      <c r="E50" s="393"/>
      <c r="F50" s="41"/>
      <c r="G50" s="331"/>
      <c r="H50" s="332"/>
      <c r="I50" s="332"/>
      <c r="J50" s="33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2"/>
      <c r="E51" s="393"/>
      <c r="F51" s="41"/>
      <c r="G51" s="331"/>
      <c r="H51" s="332"/>
      <c r="I51" s="332"/>
      <c r="J51" s="33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5"/>
      <c r="E52" s="366"/>
      <c r="F52" s="41"/>
      <c r="G52" s="331"/>
      <c r="H52" s="332"/>
      <c r="I52" s="332"/>
      <c r="J52" s="33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5"/>
      <c r="E53" s="366"/>
      <c r="F53" s="41"/>
      <c r="G53" s="331"/>
      <c r="H53" s="332"/>
      <c r="I53" s="332"/>
      <c r="J53" s="33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3" t="str">
        <f ca="1">D25</f>
        <v>Answer</v>
      </c>
      <c r="E55" s="353"/>
      <c r="F55" s="15"/>
      <c r="G55" s="38" t="str">
        <f ca="1">G25</f>
        <v>Comments</v>
      </c>
      <c r="H55" s="352"/>
      <c r="I55" s="352"/>
      <c r="J55" s="352"/>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9" t="s">
        <v>25</v>
      </c>
      <c r="E56" s="350"/>
      <c r="F56" s="41"/>
      <c r="G56" s="331"/>
      <c r="H56" s="332"/>
      <c r="I56" s="332"/>
      <c r="J56" s="33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9"/>
      <c r="E57" s="330"/>
      <c r="F57" s="41"/>
      <c r="G57" s="331"/>
      <c r="H57" s="332"/>
      <c r="I57" s="332"/>
      <c r="J57" s="33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31"/>
      <c r="H58" s="332"/>
      <c r="I58" s="332"/>
      <c r="J58" s="33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31"/>
      <c r="H59" s="332"/>
      <c r="I59" s="332"/>
      <c r="J59" s="33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3" t="str">
        <f ca="1">D25</f>
        <v>Answer</v>
      </c>
      <c r="E61" s="353"/>
      <c r="F61" s="15"/>
      <c r="G61" s="38" t="str">
        <f ca="1">G25</f>
        <v>Comments</v>
      </c>
      <c r="H61" s="352" t="str">
        <f>IF(Q69="(*)","Click here to enter smelter names","")</f>
        <v/>
      </c>
      <c r="I61" s="352"/>
      <c r="J61" s="352"/>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9" t="s">
        <v>25</v>
      </c>
      <c r="E62" s="330"/>
      <c r="F62" s="42"/>
      <c r="G62" s="331"/>
      <c r="H62" s="332"/>
      <c r="I62" s="332"/>
      <c r="J62" s="33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9"/>
      <c r="E63" s="330"/>
      <c r="F63" s="42"/>
      <c r="G63" s="331"/>
      <c r="H63" s="332"/>
      <c r="I63" s="332"/>
      <c r="J63" s="33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31"/>
      <c r="H64" s="332"/>
      <c r="I64" s="332"/>
      <c r="J64" s="33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31"/>
      <c r="H65" s="332"/>
      <c r="I65" s="332"/>
      <c r="J65" s="33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0" t="str">
        <f ca="1">OFFSET(L!$C$1,MATCH("Declaration"&amp;ADDRESS(ROW(),COLUMN(),4),L!$A:$A,0)-1,SL,,)</f>
        <v>Answer the Following Questions at a Company Level</v>
      </c>
      <c r="C67" s="340"/>
      <c r="D67" s="340"/>
      <c r="E67" s="340"/>
      <c r="F67" s="340"/>
      <c r="G67" s="340"/>
      <c r="H67" s="340"/>
      <c r="I67" s="340"/>
      <c r="J67" s="34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1" t="str">
        <f ca="1">D25</f>
        <v>Answer</v>
      </c>
      <c r="E68" s="351"/>
      <c r="F68" s="47"/>
      <c r="G68" s="351" t="str">
        <f ca="1">G25</f>
        <v>Comments</v>
      </c>
      <c r="H68" s="351" t="e">
        <f>HLOOKUP(SL,LT,$O68,0)</f>
        <v>#NAME?</v>
      </c>
      <c r="I68" s="35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9" t="s">
        <v>22</v>
      </c>
      <c r="E69" s="330"/>
      <c r="F69" s="51"/>
      <c r="G69" s="331"/>
      <c r="H69" s="332"/>
      <c r="I69" s="332"/>
      <c r="J69" s="333"/>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3"/>
      <c r="H70" s="343"/>
      <c r="I70" s="343"/>
      <c r="J70" s="34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9" t="s">
        <v>22</v>
      </c>
      <c r="E71" s="330"/>
      <c r="F71" s="51"/>
      <c r="G71" s="345"/>
      <c r="H71" s="346"/>
      <c r="I71" s="346"/>
      <c r="J71" s="347"/>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7"/>
      <c r="E73" s="337"/>
      <c r="F73" s="236"/>
      <c r="G73" s="348"/>
      <c r="H73" s="348"/>
      <c r="I73" s="348"/>
      <c r="J73" s="34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9" t="s">
        <v>22</v>
      </c>
      <c r="E74" s="330"/>
      <c r="F74" s="9"/>
      <c r="G74" s="331"/>
      <c r="H74" s="332"/>
      <c r="I74" s="332"/>
      <c r="J74" s="33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9"/>
      <c r="E75" s="330"/>
      <c r="F75" s="9"/>
      <c r="G75" s="331"/>
      <c r="H75" s="332"/>
      <c r="I75" s="332"/>
      <c r="J75" s="33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22</v>
      </c>
      <c r="E77" s="330"/>
      <c r="F77" s="51"/>
      <c r="G77" s="331"/>
      <c r="H77" s="332"/>
      <c r="I77" s="332"/>
      <c r="J77" s="333"/>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1" t="s">
        <v>34</v>
      </c>
      <c r="E79" s="342"/>
      <c r="F79" s="51"/>
      <c r="G79" s="331"/>
      <c r="H79" s="332"/>
      <c r="I79" s="332"/>
      <c r="J79" s="33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3"/>
      <c r="H80" s="343"/>
      <c r="I80" s="343"/>
      <c r="J80" s="34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9" t="s">
        <v>25</v>
      </c>
      <c r="E81" s="330"/>
      <c r="F81" s="51"/>
      <c r="G81" s="331"/>
      <c r="H81" s="332"/>
      <c r="I81" s="332"/>
      <c r="J81" s="33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4"/>
      <c r="H82" s="344"/>
      <c r="I82" s="344"/>
      <c r="J82" s="34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9" t="s">
        <v>22</v>
      </c>
      <c r="E83" s="330"/>
      <c r="F83" s="51"/>
      <c r="G83" s="331"/>
      <c r="H83" s="332"/>
      <c r="I83" s="332"/>
      <c r="J83" s="33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6" t="str">
        <f>IF(OR($D$8="",$I$3=""),"","Click here to check required fields completion")</f>
        <v/>
      </c>
      <c r="C84" s="336"/>
      <c r="D84" s="336"/>
      <c r="E84" s="336"/>
      <c r="F84" s="336"/>
      <c r="G84" s="336"/>
      <c r="H84" s="336"/>
      <c r="I84" s="336"/>
      <c r="J84" s="336"/>
      <c r="K84" s="30"/>
      <c r="L84" s="103"/>
      <c r="P84" s="3"/>
      <c r="Q84" s="3"/>
      <c r="R84" s="3"/>
      <c r="S84" s="3"/>
      <c r="T84" s="3"/>
      <c r="U84" s="3"/>
      <c r="V84" s="3"/>
      <c r="W84" s="3"/>
      <c r="X84" s="3"/>
      <c r="Y84" s="3">
        <v>86</v>
      </c>
      <c r="Z84" s="3"/>
      <c r="AA84" s="3"/>
      <c r="AB84" s="3"/>
      <c r="AC84" s="3"/>
      <c r="AD84" s="3"/>
      <c r="AE84" s="3"/>
      <c r="AF84" s="3"/>
      <c r="AG84" s="3"/>
      <c r="AH84" s="3"/>
    </row>
    <row r="85" spans="1:34" ht="15.75" thickBot="1">
      <c r="A85" s="334" t="str">
        <f ca="1">OFFSET(L!$C$1,MATCH("General"&amp;"Cpy",L!$A:$A,0)-1,SL,,)</f>
        <v>© 2024 Responsible Minerals Initiative. All rights reserved.</v>
      </c>
      <c r="B85" s="335"/>
      <c r="C85" s="335"/>
      <c r="D85" s="335"/>
      <c r="E85" s="335"/>
      <c r="F85" s="335"/>
      <c r="G85" s="335"/>
      <c r="H85" s="335"/>
      <c r="I85" s="335"/>
      <c r="J85" s="33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0" priority="26">
      <formula>IF($D$28="No",TRUE)</formula>
    </cfRule>
  </conditionalFormatting>
  <conditionalFormatting sqref="D29 D41 D47 D53 D59 D65">
    <cfRule type="expression" dxfId="79" priority="25">
      <formula>IF($D$29="No",TRUE)</formula>
    </cfRule>
  </conditionalFormatting>
  <conditionalFormatting sqref="D34">
    <cfRule type="expression" dxfId="78" priority="17">
      <formula>IF($D$28="No",TRUE)</formula>
    </cfRule>
  </conditionalFormatting>
  <conditionalFormatting sqref="D35">
    <cfRule type="expression" dxfId="77" priority="16">
      <formula>IF($D$29="No",TRUE)</formula>
    </cfRule>
  </conditionalFormatting>
  <conditionalFormatting sqref="D40 D46 D52 D58 D64">
    <cfRule type="expression" dxfId="76" priority="155" stopIfTrue="1">
      <formula>IF(AND(OR($D$28="Yes",$D$28=""),D40=""),1,0)</formula>
    </cfRule>
  </conditionalFormatting>
  <conditionalFormatting sqref="D22:E22">
    <cfRule type="expression" dxfId="75" priority="152" stopIfTrue="1">
      <formula>IF($D$22="",TRUE)</formula>
    </cfRule>
  </conditionalFormatting>
  <conditionalFormatting sqref="D26:E26">
    <cfRule type="expression" dxfId="74" priority="130" stopIfTrue="1">
      <formula>IF($D$26="",TRUE)</formula>
    </cfRule>
  </conditionalFormatting>
  <conditionalFormatting sqref="D27:E27">
    <cfRule type="expression" dxfId="73" priority="137" stopIfTrue="1">
      <formula>IF($D$27="",TRUE)</formula>
    </cfRule>
  </conditionalFormatting>
  <conditionalFormatting sqref="D32:E32">
    <cfRule type="expression" dxfId="72" priority="15" stopIfTrue="1">
      <formula>IF(AND(OR($D$26="Yes",$D$26=""),$D$32=""),1,0)</formula>
    </cfRule>
    <cfRule type="expression" dxfId="71" priority="19" stopIfTrue="1">
      <formula>IF($P$26="",TRUE)</formula>
    </cfRule>
  </conditionalFormatting>
  <conditionalFormatting sqref="D33:E33">
    <cfRule type="expression" dxfId="70" priority="18" stopIfTrue="1">
      <formula>IF(AND(OR($D$27="Yes",$D$27=""),$D$33=""),1,0)</formula>
    </cfRule>
    <cfRule type="expression" dxfId="69" priority="20" stopIfTrue="1">
      <formula>IF($P$27="",TRUE)</formula>
    </cfRule>
  </conditionalFormatting>
  <conditionalFormatting sqref="D38:E38 D44:E44 D50:E50 D56:E56 D62:E62">
    <cfRule type="expression" dxfId="68" priority="46" stopIfTrue="1">
      <formula>IF(AND(OR($D$26="No",$D$26="Unknown",$D$26="Not applicable for this declaration",$D$32="No",$D$32="Unknown"),D38=""),1,0)</formula>
    </cfRule>
    <cfRule type="expression" dxfId="67" priority="47" stopIfTrue="1">
      <formula>IF(AND(OR($D$26="Yes",$D$26=""),D38=""),1,0)</formula>
    </cfRule>
  </conditionalFormatting>
  <conditionalFormatting sqref="D39:E39 D45:E45 D51:E51 D57:E57 D63:E63">
    <cfRule type="expression" dxfId="66" priority="153" stopIfTrue="1">
      <formula>IF(AND(OR($D$27="No",$D$27="Unknown",$D$27="Not applicable for this declaration",$D$33="No",$D$33="Unknown"),D39=""),1,0)</formula>
    </cfRule>
    <cfRule type="expression" dxfId="65" priority="154" stopIfTrue="1">
      <formula>IF(AND(OR($D$27="Yes",$D$27=""),D39=""),1,0)</formula>
    </cfRule>
  </conditionalFormatting>
  <conditionalFormatting sqref="D40:E40 D46:E46 D52:E52 D58:E58 D64:E64">
    <cfRule type="expression" dxfId="64" priority="42" stopIfTrue="1">
      <formula>$P$28=""</formula>
    </cfRule>
  </conditionalFormatting>
  <conditionalFormatting sqref="D41:E41 D47:E47 D53:E53 D59:E59 D65:E65">
    <cfRule type="expression" dxfId="63" priority="157" stopIfTrue="1">
      <formula>$P$29=""</formula>
    </cfRule>
    <cfRule type="expression" dxfId="62" priority="158" stopIfTrue="1">
      <formula>IF(AND(OR($D$29="Yes",$D$29=""),D41=""),1,0)</formula>
    </cfRule>
  </conditionalFormatting>
  <conditionalFormatting sqref="D69:E69 D71:E71 D77:E77 D79:E79 D81:E81 D83:E83">
    <cfRule type="expression" dxfId="61" priority="9" stopIfTrue="1">
      <formula>AND(OR($D$26="No",$D$26="Unknown",$D$26="Not applicable for this declaration"),OR($D$27="No",$D$27="Unknown",$D$27="Not applicable for this declaration"))</formula>
    </cfRule>
    <cfRule type="expression" dxfId="60" priority="10" stopIfTrue="1">
      <formula>IF(D69="",TRUE)</formula>
    </cfRule>
  </conditionalFormatting>
  <conditionalFormatting sqref="D74:E74">
    <cfRule type="expression" dxfId="59" priority="8" stopIfTrue="1">
      <formula>IF(AND(OR($D$26="No",$D$26="Unknown",$D$26="Not applicable for this declaration",$D$32="No",$D$32="Unknown"),D74=""),1,0)</formula>
    </cfRule>
    <cfRule type="expression" dxfId="58" priority="12" stopIfTrue="1">
      <formula>IF(AND(OR($D$26="Yes",$D$26=""),D74=""),1,0)</formula>
    </cfRule>
  </conditionalFormatting>
  <conditionalFormatting sqref="D75:E75">
    <cfRule type="expression" dxfId="57" priority="7" stopIfTrue="1">
      <formula>IF(AND(OR($D$27="No",$D$27="Unknown",$D$27="Not applicable for this declaration",$D$33="No",$D$33="Unknown"),D75=""),1,0)</formula>
    </cfRule>
    <cfRule type="expression" dxfId="56" priority="14" stopIfTrue="1">
      <formula>IF(AND(OR($D$27="Yes",$D$27=""),D75=""),1,0)</formula>
    </cfRule>
  </conditionalFormatting>
  <conditionalFormatting sqref="D9:G9">
    <cfRule type="expression" dxfId="55" priority="145" stopIfTrue="1">
      <formula>IF($D$9="",TRUE)</formula>
    </cfRule>
  </conditionalFormatting>
  <conditionalFormatting sqref="D10:J10">
    <cfRule type="expression" dxfId="54" priority="49" stopIfTrue="1">
      <formula>IF($D$9=$Q$9,TRUE)</formula>
    </cfRule>
    <cfRule type="expression" dxfId="53" priority="159" stopIfTrue="1">
      <formula>IF(AND($D$10="",$D$9=$R$9),TRUE)</formula>
    </cfRule>
  </conditionalFormatting>
  <conditionalFormatting sqref="G71:J71">
    <cfRule type="expression" dxfId="52" priority="22">
      <formula>IF(AND($D$71="Yes",$G$71=""),TRUE)</formula>
    </cfRule>
  </conditionalFormatting>
  <conditionalFormatting sqref="G79:J79">
    <cfRule type="expression" dxfId="51" priority="40" stopIfTrue="1">
      <formula>IF(AND($D$79="Yes, using other format (describe)",$G$79=""),TRUE)</formula>
    </cfRule>
  </conditionalFormatting>
  <conditionalFormatting sqref="G81:J81">
    <cfRule type="expression" dxfId="50" priority="21">
      <formula>IF(AND($D$81="Yes, using other format (describe)",$G$81=""),TRUE)</formula>
    </cfRule>
  </conditionalFormatting>
  <conditionalFormatting sqref="D8:J8">
    <cfRule type="expression" dxfId="49" priority="6" stopIfTrue="1">
      <formula>IF($D$8="",TRUE)</formula>
    </cfRule>
  </conditionalFormatting>
  <conditionalFormatting sqref="D15:J15">
    <cfRule type="expression" dxfId="48" priority="2" stopIfTrue="1">
      <formula>IF($D$15="",TRUE)</formula>
    </cfRule>
  </conditionalFormatting>
  <conditionalFormatting sqref="D16:J16">
    <cfRule type="expression" dxfId="47" priority="3" stopIfTrue="1">
      <formula>IF($D$16="",TRUE)</formula>
    </cfRule>
  </conditionalFormatting>
  <conditionalFormatting sqref="D17:J17">
    <cfRule type="expression" dxfId="46" priority="4" stopIfTrue="1">
      <formula>IF($D$17="",TRUE)</formula>
    </cfRule>
  </conditionalFormatting>
  <conditionalFormatting sqref="D18:J18">
    <cfRule type="expression" dxfId="45" priority="5" stopIfTrue="1">
      <formula>IF($D$18="",TRUE)</formula>
    </cfRule>
  </conditionalFormatting>
  <conditionalFormatting sqref="D20:J20">
    <cfRule type="expression" dxfId="44"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20" r:id="rId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11" sqref="A1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108</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IF(B5="","",IF(ISERROR(MATCH($J5,SorP!$B$1:$B$6226,0)),"",INDIRECT("'SorP'!$A$"&amp;MATCH($S5&amp;$J5,SorP!C:C,0))))</f>
        <v>FI-07</v>
      </c>
      <c r="U5" s="169"/>
      <c r="V5" s="170">
        <f ca="1">IF(C5="",NA(),MATCH($B5&amp;$C5,'Smelter Look-up'!$J:$J,0))</f>
        <v>138</v>
      </c>
      <c r="X5" s="171">
        <f t="shared" ref="X5:X62" ca="1" si="1">IF(AND(C5="Smelter not listed",OR(LEN(D5)=0,LEN(E5)=0)),1,0)</f>
        <v>0</v>
      </c>
      <c r="AB5" s="171" t="str">
        <f t="shared" ref="AB5:AB62" ca="1" si="2">B5&amp;C5</f>
        <v>CobaltUmicore Finland Oy</v>
      </c>
    </row>
    <row r="6" spans="1:34" s="171" customFormat="1" ht="20.25">
      <c r="A6" s="200" t="s">
        <v>291</v>
      </c>
      <c r="B6" s="150" t="str">
        <f ca="1">IF(LEN(A6)=0,"",INDEX('Smelter Look-up'!$A:$A,MATCH($A6,'Smelter Look-up'!$E:$E,0)))</f>
        <v>Cobalt</v>
      </c>
      <c r="C6" s="153" t="str">
        <f ca="1">IF(LEN(A6)=0,"",INDEX('Smelter Look-up'!$C:$C,MATCH($A6,'Smelter Look-up'!$E:$E,0)))</f>
        <v>Umicore Olen</v>
      </c>
      <c r="D6" s="150"/>
      <c r="E6" s="150" t="str">
        <f ca="1">IF(ISERROR($V6),"",OFFSET('Smelter Look-up'!$D$4,$V6-4,0)&amp;"")</f>
        <v>BELGIUM</v>
      </c>
      <c r="F6" s="150" t="str">
        <f ca="1">IF(ISERROR($V6),"",OFFSET('Smelter Look-up'!$E$4,$V6-4,0))</f>
        <v>CID003228</v>
      </c>
      <c r="G6" s="150" t="str">
        <f ca="1">IF(C6=$X$4,"Enter smelter details",IF(ISERROR($V6),"",OFFSET('Smelter Look-up'!$F$4,$V6-4,0)))</f>
        <v>RMI</v>
      </c>
      <c r="H6" s="208">
        <f ca="1">IF(ISERROR($V6),"",OFFSET('Smelter Look-up'!$G$4,$V6-4,0))</f>
        <v>0</v>
      </c>
      <c r="I6" s="209" t="str">
        <f ca="1">IF(ISERROR($V6),"",OFFSET('Smelter Look-up'!$H$4,$V6-4,0))</f>
        <v>Olen</v>
      </c>
      <c r="J6" s="209" t="str">
        <f ca="1">IF(ISERROR($V6),"",OFFSET('Smelter Look-up'!$I$4,$V6-4,0))</f>
        <v>Antwerpen</v>
      </c>
      <c r="K6" s="151"/>
      <c r="L6" s="151"/>
      <c r="M6" s="151"/>
      <c r="N6" s="151"/>
      <c r="O6" s="151"/>
      <c r="P6" s="211"/>
      <c r="Q6" s="152"/>
      <c r="R6" s="150" t="str">
        <f ca="1">IF(ISERROR($V6),"",OFFSET('Smelter Look-up'!$C$4,$V6-4,0)&amp;"")</f>
        <v>Umicore Olen</v>
      </c>
      <c r="S6" s="156" t="str">
        <f t="shared" ca="1" si="0"/>
        <v>BE</v>
      </c>
      <c r="T6" s="156" t="str">
        <f ca="1">IF(B6="","",IF(ISERROR(MATCH($J6,SorP!$B$1:$B$6226,0)),"",INDIRECT("'SorP'!$A$"&amp;MATCH($S6&amp;$J6,SorP!C:C,0))))</f>
        <v>BE-VAN</v>
      </c>
      <c r="U6" s="169"/>
      <c r="V6" s="170">
        <f ca="1">IF(C6="",NA(),MATCH($B6&amp;$C6,'Smelter Look-up'!$J:$J,0))</f>
        <v>139</v>
      </c>
      <c r="X6" s="171">
        <f t="shared" ca="1" si="1"/>
        <v>0</v>
      </c>
      <c r="AB6" s="171" t="str">
        <f t="shared" ca="1" si="2"/>
        <v>CobaltUmicore Olen</v>
      </c>
    </row>
    <row r="7" spans="1:34" s="171" customFormat="1" ht="20.25">
      <c r="A7" s="200" t="s">
        <v>94</v>
      </c>
      <c r="B7" s="150" t="str">
        <f ca="1">IF(LEN(A7)=0,"",INDEX('Smelter Look-up'!$A:$A,MATCH($A7,'Smelter Look-up'!$E:$E,0)))</f>
        <v>Cobalt</v>
      </c>
      <c r="C7" s="153" t="str">
        <f ca="1">IF(LEN(A7)=0,"",INDEX('Smelter Look-up'!$C:$C,MATCH($A7,'Smelter Look-up'!$E:$E,0)))</f>
        <v>Dynatec Madagascar Company</v>
      </c>
      <c r="D7" s="150"/>
      <c r="E7" s="150" t="str">
        <f ca="1">IF(ISERROR($V7),"",OFFSET('Smelter Look-up'!$D$4,$V7-4,0)&amp;"")</f>
        <v>MADAGASCAR</v>
      </c>
      <c r="F7" s="150" t="str">
        <f ca="1">IF(ISERROR($V7),"",OFFSET('Smelter Look-up'!$E$4,$V7-4,0))</f>
        <v>CID003232</v>
      </c>
      <c r="G7" s="150" t="str">
        <f ca="1">IF(C7=$X$4,"Enter smelter details",IF(ISERROR($V7),"",OFFSET('Smelter Look-up'!$F$4,$V7-4,0)))</f>
        <v>RMI</v>
      </c>
      <c r="H7" s="208">
        <f ca="1">IF(ISERROR($V7),"",OFFSET('Smelter Look-up'!$G$4,$V7-4,0))</f>
        <v>0</v>
      </c>
      <c r="I7" s="209" t="str">
        <f ca="1">IF(ISERROR($V7),"",OFFSET('Smelter Look-up'!$H$4,$V7-4,0))</f>
        <v>Toamasina</v>
      </c>
      <c r="J7" s="209" t="str">
        <f ca="1">IF(ISERROR($V7),"",OFFSET('Smelter Look-up'!$I$4,$V7-4,0))</f>
        <v>Toamasina</v>
      </c>
      <c r="K7" s="151"/>
      <c r="L7" s="151"/>
      <c r="M7" s="151"/>
      <c r="N7" s="151"/>
      <c r="O7" s="151"/>
      <c r="P7" s="211"/>
      <c r="Q7" s="152"/>
      <c r="R7" s="150" t="str">
        <f ca="1">IF(ISERROR($V7),"",OFFSET('Smelter Look-up'!$C$4,$V7-4,0)&amp;"")</f>
        <v>Dynatec Madagascar Company</v>
      </c>
      <c r="S7" s="156" t="str">
        <f t="shared" ca="1" si="0"/>
        <v>MG</v>
      </c>
      <c r="T7" s="156" t="str">
        <f ca="1">IF(B7="","",IF(ISERROR(MATCH($J7,SorP!$B$1:$B$6226,0)),"",INDIRECT("'SorP'!$A$"&amp;MATCH($S7&amp;$J7,SorP!C:C,0))))</f>
        <v>MG-A</v>
      </c>
      <c r="U7" s="169"/>
      <c r="V7" s="170">
        <f ca="1">IF(C7="",NA(),MATCH($B7&amp;$C7,'Smelter Look-up'!$J:$J,0))</f>
        <v>16</v>
      </c>
      <c r="X7" s="171">
        <f t="shared" ca="1" si="1"/>
        <v>0</v>
      </c>
      <c r="AB7" s="171" t="str">
        <f t="shared" ca="1" si="2"/>
        <v>CobaltDynatec Madagascar Company</v>
      </c>
    </row>
    <row r="8" spans="1:34" s="171" customFormat="1" ht="20.25">
      <c r="A8" s="200" t="s">
        <v>259</v>
      </c>
      <c r="B8" s="150" t="str">
        <f ca="1">IF(LEN(A8)=0,"",INDEX('Smelter Look-up'!$A:$A,MATCH($A8,'Smelter Look-up'!$E:$E,0)))</f>
        <v>Cobalt</v>
      </c>
      <c r="C8" s="153" t="str">
        <f ca="1">IF(LEN(A8)=0,"",INDEX('Smelter Look-up'!$C:$C,MATCH($A8,'Smelter Look-up'!$E:$E,0)))</f>
        <v>NORILSK NICKEL HARJAVALTA OY</v>
      </c>
      <c r="D8" s="150"/>
      <c r="E8" s="150" t="str">
        <f ca="1">IF(ISERROR($V8),"",OFFSET('Smelter Look-up'!$D$4,$V8-4,0)&amp;"")</f>
        <v>FINLAND</v>
      </c>
      <c r="F8" s="150" t="str">
        <f ca="1">IF(ISERROR($V8),"",OFFSET('Smelter Look-up'!$E$4,$V8-4,0))</f>
        <v>CID003390</v>
      </c>
      <c r="G8" s="150" t="str">
        <f ca="1">IF(C8=$X$4,"Enter smelter details",IF(ISERROR($V8),"",OFFSET('Smelter Look-up'!$F$4,$V8-4,0)))</f>
        <v>RMI</v>
      </c>
      <c r="H8" s="208">
        <f ca="1">IF(ISERROR($V8),"",OFFSET('Smelter Look-up'!$G$4,$V8-4,0))</f>
        <v>0</v>
      </c>
      <c r="I8" s="209" t="str">
        <f ca="1">IF(ISERROR($V8),"",OFFSET('Smelter Look-up'!$H$4,$V8-4,0))</f>
        <v>Harvjavalta</v>
      </c>
      <c r="J8" s="209" t="str">
        <f ca="1">IF(ISERROR($V8),"",OFFSET('Smelter Look-up'!$I$4,$V8-4,0))</f>
        <v>Satakunta</v>
      </c>
      <c r="K8" s="151"/>
      <c r="L8" s="151"/>
      <c r="M8" s="151"/>
      <c r="N8" s="151"/>
      <c r="O8" s="151"/>
      <c r="P8" s="211"/>
      <c r="Q8" s="152"/>
      <c r="R8" s="150" t="str">
        <f ca="1">IF(ISERROR($V8),"",OFFSET('Smelter Look-up'!$C$4,$V8-4,0)&amp;"")</f>
        <v>NORILSK NICKEL HARJAVALTA OY</v>
      </c>
      <c r="S8" s="156" t="str">
        <f t="shared" ca="1" si="0"/>
        <v>FI</v>
      </c>
      <c r="T8" s="156" t="str">
        <f ca="1">IF(B8="","",IF(ISERROR(MATCH($J8,SorP!$B$1:$B$6226,0)),"",INDIRECT("'SorP'!$A$"&amp;MATCH($S8&amp;$J8,SorP!C:C,0))))</f>
        <v>FI-17</v>
      </c>
      <c r="U8" s="169"/>
      <c r="V8" s="170">
        <f ca="1">IF(C8="",NA(),MATCH($B8&amp;$C8,'Smelter Look-up'!$J:$J,0))</f>
        <v>111</v>
      </c>
      <c r="X8" s="171">
        <f t="shared" ca="1" si="1"/>
        <v>0</v>
      </c>
      <c r="AB8" s="171" t="str">
        <f t="shared" ca="1" si="2"/>
        <v>CobaltNORILSK NICKEL HARJAVALTA OY</v>
      </c>
    </row>
    <row r="9" spans="1:34" s="171" customFormat="1" ht="25.5">
      <c r="A9" s="200" t="s">
        <v>250</v>
      </c>
      <c r="B9" s="150" t="str">
        <f ca="1">IF(LEN(A9)=0,"",INDEX('Smelter Look-up'!$A:$A,MATCH($A9,'Smelter Look-up'!$E:$E,0)))</f>
        <v>Cobalt</v>
      </c>
      <c r="C9" s="153" t="str">
        <f ca="1">IF(LEN(A9)=0,"",INDEX('Smelter Look-up'!$C:$C,MATCH($A9,'Smelter Look-up'!$E:$E,0)))</f>
        <v>Niihama Nickel Refinery, Sumitomo Metal Mining</v>
      </c>
      <c r="D9" s="150"/>
      <c r="E9" s="150" t="str">
        <f ca="1">IF(ISERROR($V9),"",OFFSET('Smelter Look-up'!$D$4,$V9-4,0)&amp;"")</f>
        <v>JAPAN</v>
      </c>
      <c r="F9" s="150" t="str">
        <f ca="1">IF(ISERROR($V9),"",OFFSET('Smelter Look-up'!$E$4,$V9-4,0))</f>
        <v>CID003278</v>
      </c>
      <c r="G9" s="150" t="str">
        <f ca="1">IF(C9=$X$4,"Enter smelter details",IF(ISERROR($V9),"",OFFSET('Smelter Look-up'!$F$4,$V9-4,0)))</f>
        <v>RMI</v>
      </c>
      <c r="H9" s="208">
        <f ca="1">IF(ISERROR($V9),"",OFFSET('Smelter Look-up'!$G$4,$V9-4,0))</f>
        <v>0</v>
      </c>
      <c r="I9" s="209" t="str">
        <f ca="1">IF(ISERROR($V9),"",OFFSET('Smelter Look-up'!$H$4,$V9-4,0))</f>
        <v>Niihama</v>
      </c>
      <c r="J9" s="209" t="str">
        <f ca="1">IF(ISERROR($V9),"",OFFSET('Smelter Look-up'!$I$4,$V9-4,0))</f>
        <v>Ehime</v>
      </c>
      <c r="K9" s="151"/>
      <c r="L9" s="151"/>
      <c r="M9" s="151"/>
      <c r="N9" s="151"/>
      <c r="O9" s="151"/>
      <c r="P9" s="211"/>
      <c r="Q9" s="152"/>
      <c r="R9" s="150" t="str">
        <f ca="1">IF(ISERROR($V9),"",OFFSET('Smelter Look-up'!$C$4,$V9-4,0)&amp;"")</f>
        <v>Niihama Nickel Refinery, Sumitomo Metal Mining</v>
      </c>
      <c r="S9" s="156" t="str">
        <f t="shared" ca="1" si="0"/>
        <v>JP</v>
      </c>
      <c r="T9" s="156" t="str">
        <f ca="1">IF(B9="","",IF(ISERROR(MATCH($J9,SorP!$B$1:$B$6226,0)),"",INDIRECT("'SorP'!$A$"&amp;MATCH($S9&amp;$J9,SorP!C:C,0))))</f>
        <v>JP-38</v>
      </c>
      <c r="U9" s="169"/>
      <c r="V9" s="170">
        <f ca="1">IF(C9="",NA(),MATCH($B9&amp;$C9,'Smelter Look-up'!$J:$J,0))</f>
        <v>108</v>
      </c>
      <c r="X9" s="171">
        <f t="shared" ca="1" si="1"/>
        <v>0</v>
      </c>
      <c r="AB9" s="171" t="str">
        <f t="shared" ca="1" si="2"/>
        <v>CobaltNiihama Nickel Refinery, Sumitomo Metal Mining</v>
      </c>
    </row>
    <row r="10" spans="1:34" s="171" customFormat="1" ht="20.25">
      <c r="A10" s="200" t="s">
        <v>226</v>
      </c>
      <c r="B10" s="150" t="str">
        <f ca="1">IF(LEN(A10)=0,"",INDEX('Smelter Look-up'!$A:$A,MATCH($A10,'Smelter Look-up'!$E:$E,0)))</f>
        <v>Cobalt</v>
      </c>
      <c r="C10" s="153" t="str">
        <f ca="1">IF(LEN(A10)=0,"",INDEX('Smelter Look-up'!$C:$C,MATCH($A10,'Smelter Look-up'!$E:$E,0)))</f>
        <v>Murrin Murrin Nickel Cobalt Plant</v>
      </c>
      <c r="D10" s="150"/>
      <c r="E10" s="150" t="str">
        <f ca="1">IF(ISERROR($V10),"",OFFSET('Smelter Look-up'!$D$4,$V10-4,0)&amp;"")</f>
        <v>AUSTRALIA</v>
      </c>
      <c r="F10" s="150" t="str">
        <f ca="1">IF(ISERROR($V10),"",OFFSET('Smelter Look-up'!$E$4,$V10-4,0))</f>
        <v>CID003406</v>
      </c>
      <c r="G10" s="150" t="str">
        <f ca="1">IF(C10=$X$4,"Enter smelter details",IF(ISERROR($V10),"",OFFSET('Smelter Look-up'!$F$4,$V10-4,0)))</f>
        <v>RMI</v>
      </c>
      <c r="H10" s="208">
        <f ca="1">IF(ISERROR($V10),"",OFFSET('Smelter Look-up'!$G$4,$V10-4,0))</f>
        <v>0</v>
      </c>
      <c r="I10" s="209" t="str">
        <f ca="1">IF(ISERROR($V10),"",OFFSET('Smelter Look-up'!$H$4,$V10-4,0))</f>
        <v>Laverton</v>
      </c>
      <c r="J10" s="209" t="str">
        <f ca="1">IF(ISERROR($V10),"",OFFSET('Smelter Look-up'!$I$4,$V10-4,0))</f>
        <v>Western Australia</v>
      </c>
      <c r="K10" s="151"/>
      <c r="L10" s="151"/>
      <c r="M10" s="151"/>
      <c r="N10" s="151"/>
      <c r="O10" s="151"/>
      <c r="P10" s="211"/>
      <c r="Q10" s="152"/>
      <c r="R10" s="150" t="str">
        <f ca="1">IF(ISERROR($V10),"",OFFSET('Smelter Look-up'!$C$4,$V10-4,0)&amp;"")</f>
        <v>Murrin Murrin Nickel Cobalt Plant</v>
      </c>
      <c r="S10" s="156" t="str">
        <f t="shared" ca="1" si="0"/>
        <v>AU</v>
      </c>
      <c r="T10" s="156" t="str">
        <f ca="1">IF(B10="","",IF(ISERROR(MATCH($J10,SorP!$B$1:$B$6226,0)),"",INDIRECT("'SorP'!$A$"&amp;MATCH($S10&amp;$J10,SorP!C:C,0))))</f>
        <v>AU-WA</v>
      </c>
      <c r="U10" s="169"/>
      <c r="V10" s="170">
        <f ca="1">IF(C10="",NA(),MATCH($B10&amp;$C10,'Smelter Look-up'!$J:$J,0))</f>
        <v>94</v>
      </c>
      <c r="X10" s="171">
        <f t="shared" ca="1" si="1"/>
        <v>0</v>
      </c>
      <c r="AB10" s="171" t="str">
        <f t="shared" ca="1" si="2"/>
        <v>CobaltMurrin Murrin Nickel Cobalt Plant</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KAMAYA  ELECTRIC  CO.,LTD.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refer to Product List</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Masami Watanabe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watanabe@kamaya.co.jp</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+81-125-65-2171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Makoto Suzuki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smakoto@kamaya.co.jp</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(+81)125-65-2171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45420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316" t="s">
        <v>19213</v>
      </c>
      <c r="C6" s="90" t="s">
        <v>19214</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316" t="s">
        <v>19215</v>
      </c>
      <c r="C7" s="90" t="s">
        <v>19214</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316" t="s">
        <v>19216</v>
      </c>
      <c r="C8" s="90" t="s">
        <v>19214</v>
      </c>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316" t="s">
        <v>19217</v>
      </c>
      <c r="C9" s="90" t="s">
        <v>19214</v>
      </c>
      <c r="D9" s="90" t="s">
        <v>19218</v>
      </c>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316" t="s">
        <v>19219</v>
      </c>
      <c r="C10" s="90" t="s">
        <v>19214</v>
      </c>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316" t="s">
        <v>19220</v>
      </c>
      <c r="C11" s="90" t="s">
        <v>19214</v>
      </c>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316" t="s">
        <v>19221</v>
      </c>
      <c r="C12" s="90" t="s">
        <v>19214</v>
      </c>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316" t="s">
        <v>19222</v>
      </c>
      <c r="C13" s="90" t="s">
        <v>19214</v>
      </c>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316" t="s">
        <v>19223</v>
      </c>
      <c r="C14" s="90" t="s">
        <v>19214</v>
      </c>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316" t="s">
        <v>19224</v>
      </c>
      <c r="C15" s="90" t="s">
        <v>19214</v>
      </c>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316" t="s">
        <v>19225</v>
      </c>
      <c r="C16" s="90" t="s">
        <v>19214</v>
      </c>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316" t="s">
        <v>19226</v>
      </c>
      <c r="C17" s="90" t="s">
        <v>19214</v>
      </c>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316" t="s">
        <v>19227</v>
      </c>
      <c r="C18" s="90" t="s">
        <v>19214</v>
      </c>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316" t="s">
        <v>19228</v>
      </c>
      <c r="C19" s="90" t="s">
        <v>19214</v>
      </c>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316" t="s">
        <v>19229</v>
      </c>
      <c r="C20" s="90" t="s">
        <v>19214</v>
      </c>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316" t="s">
        <v>19230</v>
      </c>
      <c r="C21" s="90" t="s">
        <v>19214</v>
      </c>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316" t="s">
        <v>19231</v>
      </c>
      <c r="C22" s="90" t="s">
        <v>19214</v>
      </c>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316" t="s">
        <v>19232</v>
      </c>
      <c r="C23" s="90" t="s">
        <v>19214</v>
      </c>
      <c r="D23" s="90" t="s">
        <v>19233</v>
      </c>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316" t="s">
        <v>19234</v>
      </c>
      <c r="C24" s="90" t="s">
        <v>19214</v>
      </c>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316" t="s">
        <v>19235</v>
      </c>
      <c r="C25" s="90" t="s">
        <v>19214</v>
      </c>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316" t="s">
        <v>19236</v>
      </c>
      <c r="C26" s="90" t="s">
        <v>19214</v>
      </c>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316" t="s">
        <v>19237</v>
      </c>
      <c r="C27" s="90" t="s">
        <v>19214</v>
      </c>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316" t="s">
        <v>19238</v>
      </c>
      <c r="C28" s="90" t="s">
        <v>19214</v>
      </c>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316" t="s">
        <v>19239</v>
      </c>
      <c r="C29" s="90" t="s">
        <v>19214</v>
      </c>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316" t="s">
        <v>19240</v>
      </c>
      <c r="C30" s="90" t="s">
        <v>19214</v>
      </c>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316" t="s">
        <v>19241</v>
      </c>
      <c r="C31" s="90" t="s">
        <v>19242</v>
      </c>
      <c r="D31" s="90" t="s">
        <v>19233</v>
      </c>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316" t="s">
        <v>19243</v>
      </c>
      <c r="C32" s="90" t="s">
        <v>19214</v>
      </c>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316" t="s">
        <v>19244</v>
      </c>
      <c r="C33" s="90" t="s">
        <v>19214</v>
      </c>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316" t="s">
        <v>19245</v>
      </c>
      <c r="C34" s="90" t="s">
        <v>19214</v>
      </c>
      <c r="D34" s="90" t="s">
        <v>19233</v>
      </c>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316" t="s">
        <v>19246</v>
      </c>
      <c r="C35" s="90" t="s">
        <v>19242</v>
      </c>
      <c r="D35" s="90" t="s">
        <v>19233</v>
      </c>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316" t="s">
        <v>19247</v>
      </c>
      <c r="C36" s="90" t="s">
        <v>19242</v>
      </c>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316" t="s">
        <v>19248</v>
      </c>
      <c r="C37" s="90" t="s">
        <v>19242</v>
      </c>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316" t="s">
        <v>19249</v>
      </c>
      <c r="C38" s="90" t="s">
        <v>19242</v>
      </c>
      <c r="D38" s="90" t="s">
        <v>19233</v>
      </c>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316" t="s">
        <v>19250</v>
      </c>
      <c r="C39" s="90" t="s">
        <v>19242</v>
      </c>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316" t="s">
        <v>19251</v>
      </c>
      <c r="C40" s="90" t="s">
        <v>19242</v>
      </c>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316" t="s">
        <v>19252</v>
      </c>
      <c r="C41" s="90" t="s">
        <v>19253</v>
      </c>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316" t="s">
        <v>19254</v>
      </c>
      <c r="C42" s="90" t="s">
        <v>19214</v>
      </c>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316" t="s">
        <v>19255</v>
      </c>
      <c r="C43" s="90" t="s">
        <v>19214</v>
      </c>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316"/>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316"/>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28.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watanabe</cp:lastModifiedBy>
  <cp:revision/>
  <dcterms:created xsi:type="dcterms:W3CDTF">2010-06-21T21:00:23Z</dcterms:created>
  <dcterms:modified xsi:type="dcterms:W3CDTF">2024-07-02T05:27:51Z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